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cdtravelcol-my.sharepoint.com/personal/gina_bolivar_traveldepot_co/Documents/CARPETA PUBLICA/PRODUCTO/Costeo 2025/NORTE AMERICA/MEXICO/"/>
    </mc:Choice>
  </mc:AlternateContent>
  <xr:revisionPtr revIDLastSave="1927" documentId="11_617DE738BD18B9F07C07A0AAF44330E00FB61C9C" xr6:coauthVersionLast="47" xr6:coauthVersionMax="47" xr10:uidLastSave="{AFE80FF9-9035-4790-882D-84889CA38D76}"/>
  <bookViews>
    <workbookView xWindow="-120" yWindow="-120" windowWidth="20730" windowHeight="11160" tabRatio="943" firstSheet="1" activeTab="7" xr2:uid="{00000000-000D-0000-FFFF-FFFF00000000}"/>
  </bookViews>
  <sheets>
    <sheet name="Regente City (MEX) " sheetId="5" r:id="rId1"/>
    <sheet name="Imperial Reforma (MEX)" sheetId="19" r:id="rId2"/>
    <sheet name="Royal Reforma (MEX)" sheetId="20" r:id="rId3"/>
    <sheet name="Casablanca (MEX)" sheetId="21" r:id="rId4"/>
    <sheet name="Majestic (MEX)" sheetId="22" r:id="rId5"/>
    <sheet name="Galería Plaza (MEX)" sheetId="23" r:id="rId6"/>
    <sheet name="Histórico Central (MEX)" sheetId="24" r:id="rId7"/>
    <sheet name=" Barceló (MEX)" sheetId="25" r:id="rId8"/>
    <sheet name="Sheraton Ma. Isabel (MEX)" sheetId="2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eKHMLdHClcQBmGSGOc4CXGDMGxEKfNW947KJVy61vhI="/>
    </ext>
  </extLst>
</workbook>
</file>

<file path=xl/calcChain.xml><?xml version="1.0" encoding="utf-8"?>
<calcChain xmlns="http://schemas.openxmlformats.org/spreadsheetml/2006/main">
  <c r="L21" i="24" l="1"/>
  <c r="L21" i="22"/>
  <c r="L21" i="25"/>
  <c r="H21" i="25"/>
  <c r="F21" i="25"/>
  <c r="D21" i="25"/>
  <c r="H21" i="24"/>
  <c r="F21" i="24"/>
  <c r="D21" i="24"/>
  <c r="L21" i="23"/>
  <c r="H21" i="23"/>
  <c r="F21" i="23"/>
  <c r="D21" i="23"/>
  <c r="H21" i="22"/>
  <c r="F21" i="22"/>
  <c r="D21" i="22"/>
  <c r="L21" i="21"/>
  <c r="H21" i="21"/>
  <c r="F21" i="21"/>
  <c r="D21" i="21"/>
  <c r="L21" i="20"/>
  <c r="H21" i="20"/>
  <c r="F21" i="20"/>
  <c r="D21" i="20"/>
  <c r="L21" i="19"/>
  <c r="H21" i="19"/>
  <c r="F21" i="19"/>
  <c r="D21" i="19"/>
  <c r="L21" i="5"/>
  <c r="H21" i="5"/>
  <c r="F21" i="5"/>
  <c r="D21" i="5"/>
  <c r="L21" i="26"/>
  <c r="H21" i="26"/>
  <c r="F21" i="26"/>
  <c r="D21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B85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C85" i="26" s="1"/>
  <c r="B74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J38" i="26"/>
  <c r="J42" i="26" s="1"/>
  <c r="J64" i="26" s="1"/>
  <c r="I38" i="26"/>
  <c r="H38" i="26"/>
  <c r="G38" i="26"/>
  <c r="E38" i="26"/>
  <c r="O37" i="26"/>
  <c r="O38" i="26" s="1"/>
  <c r="N37" i="26"/>
  <c r="N38" i="26" s="1"/>
  <c r="M37" i="26"/>
  <c r="M38" i="26" s="1"/>
  <c r="L37" i="26"/>
  <c r="L38" i="26" s="1"/>
  <c r="K37" i="26"/>
  <c r="K38" i="26" s="1"/>
  <c r="J37" i="26"/>
  <c r="H37" i="26"/>
  <c r="F37" i="26"/>
  <c r="F38" i="26" s="1"/>
  <c r="D37" i="26"/>
  <c r="D38" i="26" s="1"/>
  <c r="O33" i="26"/>
  <c r="N33" i="26"/>
  <c r="M33" i="26"/>
  <c r="L33" i="26"/>
  <c r="K33" i="26"/>
  <c r="J33" i="26"/>
  <c r="I33" i="26"/>
  <c r="H33" i="26"/>
  <c r="G33" i="26"/>
  <c r="F33" i="26"/>
  <c r="E33" i="26"/>
  <c r="D33" i="26"/>
  <c r="I29" i="26"/>
  <c r="I71" i="26" s="1"/>
  <c r="O28" i="26"/>
  <c r="O29" i="26" s="1"/>
  <c r="N28" i="26"/>
  <c r="N29" i="26" s="1"/>
  <c r="M28" i="26"/>
  <c r="M29" i="26" s="1"/>
  <c r="K28" i="26"/>
  <c r="J28" i="26"/>
  <c r="I28" i="26"/>
  <c r="G28" i="26"/>
  <c r="G29" i="26" s="1"/>
  <c r="E28" i="26"/>
  <c r="E29" i="26" s="1"/>
  <c r="F16" i="26"/>
  <c r="K29" i="26" s="1"/>
  <c r="D16" i="26"/>
  <c r="O42" i="26" s="1"/>
  <c r="O64" i="26" s="1"/>
  <c r="F14" i="26"/>
  <c r="D12" i="26" s="1"/>
  <c r="D15" i="26" s="1"/>
  <c r="D7" i="26"/>
  <c r="L22" i="26" s="1"/>
  <c r="L28" i="26" s="1"/>
  <c r="L29" i="26" s="1"/>
  <c r="O85" i="25"/>
  <c r="N85" i="25"/>
  <c r="M85" i="25"/>
  <c r="L85" i="25"/>
  <c r="K85" i="25"/>
  <c r="J85" i="25"/>
  <c r="I85" i="25"/>
  <c r="H85" i="25"/>
  <c r="G85" i="25"/>
  <c r="F85" i="25"/>
  <c r="E85" i="25"/>
  <c r="D85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C85" i="25" s="1"/>
  <c r="B74" i="25"/>
  <c r="B85" i="25" s="1"/>
  <c r="O67" i="25"/>
  <c r="N67" i="25"/>
  <c r="M67" i="25"/>
  <c r="L67" i="25"/>
  <c r="K67" i="25"/>
  <c r="J67" i="25"/>
  <c r="I67" i="25"/>
  <c r="H67" i="25"/>
  <c r="G67" i="25"/>
  <c r="F67" i="25"/>
  <c r="E67" i="25"/>
  <c r="D67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G42" i="25"/>
  <c r="G64" i="25" s="1"/>
  <c r="O41" i="25"/>
  <c r="N41" i="25"/>
  <c r="M41" i="25"/>
  <c r="L41" i="25"/>
  <c r="K41" i="25"/>
  <c r="J41" i="25"/>
  <c r="I41" i="25"/>
  <c r="H41" i="25"/>
  <c r="G41" i="25"/>
  <c r="F41" i="25"/>
  <c r="E41" i="25"/>
  <c r="D41" i="25"/>
  <c r="O38" i="25"/>
  <c r="O42" i="25" s="1"/>
  <c r="O64" i="25" s="1"/>
  <c r="I38" i="25"/>
  <c r="H38" i="25"/>
  <c r="G38" i="25"/>
  <c r="E38" i="25"/>
  <c r="O37" i="25"/>
  <c r="N37" i="25"/>
  <c r="N38" i="25" s="1"/>
  <c r="M37" i="25"/>
  <c r="M38" i="25" s="1"/>
  <c r="L37" i="25"/>
  <c r="L38" i="25" s="1"/>
  <c r="K37" i="25"/>
  <c r="K38" i="25" s="1"/>
  <c r="J37" i="25"/>
  <c r="J38" i="25" s="1"/>
  <c r="H37" i="25"/>
  <c r="F37" i="25"/>
  <c r="F38" i="25" s="1"/>
  <c r="D37" i="25"/>
  <c r="D38" i="25" s="1"/>
  <c r="O33" i="25"/>
  <c r="N33" i="25"/>
  <c r="M33" i="25"/>
  <c r="L33" i="25"/>
  <c r="K33" i="25"/>
  <c r="J33" i="25"/>
  <c r="I33" i="25"/>
  <c r="H33" i="25"/>
  <c r="G33" i="25"/>
  <c r="F33" i="25"/>
  <c r="E33" i="25"/>
  <c r="D33" i="25"/>
  <c r="I29" i="25"/>
  <c r="I71" i="25" s="1"/>
  <c r="O28" i="25"/>
  <c r="O29" i="25" s="1"/>
  <c r="N28" i="25"/>
  <c r="N29" i="25" s="1"/>
  <c r="M28" i="25"/>
  <c r="M29" i="25" s="1"/>
  <c r="K28" i="25"/>
  <c r="K29" i="25" s="1"/>
  <c r="J28" i="25"/>
  <c r="J29" i="25" s="1"/>
  <c r="I28" i="25"/>
  <c r="G28" i="25"/>
  <c r="G29" i="25" s="1"/>
  <c r="E28" i="25"/>
  <c r="E29" i="25" s="1"/>
  <c r="F16" i="25"/>
  <c r="D16" i="25"/>
  <c r="N42" i="25" s="1"/>
  <c r="N64" i="25" s="1"/>
  <c r="F14" i="25"/>
  <c r="D12" i="25" s="1"/>
  <c r="D15" i="25" s="1"/>
  <c r="D7" i="25"/>
  <c r="L22" i="25" s="1"/>
  <c r="O85" i="24"/>
  <c r="N85" i="24"/>
  <c r="M85" i="24"/>
  <c r="L85" i="24"/>
  <c r="K85" i="24"/>
  <c r="J85" i="24"/>
  <c r="I85" i="24"/>
  <c r="H85" i="24"/>
  <c r="G85" i="24"/>
  <c r="F85" i="24"/>
  <c r="E85" i="24"/>
  <c r="D85" i="24"/>
  <c r="B85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C85" i="24" s="1"/>
  <c r="B74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J42" i="24"/>
  <c r="J64" i="24" s="1"/>
  <c r="O41" i="24"/>
  <c r="N41" i="24"/>
  <c r="M41" i="24"/>
  <c r="L41" i="24"/>
  <c r="K41" i="24"/>
  <c r="J41" i="24"/>
  <c r="I41" i="24"/>
  <c r="H41" i="24"/>
  <c r="G41" i="24"/>
  <c r="F41" i="24"/>
  <c r="E41" i="24"/>
  <c r="D41" i="24"/>
  <c r="K38" i="24"/>
  <c r="J38" i="24"/>
  <c r="I38" i="24"/>
  <c r="H38" i="24"/>
  <c r="G38" i="24"/>
  <c r="E38" i="24"/>
  <c r="O37" i="24"/>
  <c r="O38" i="24" s="1"/>
  <c r="N37" i="24"/>
  <c r="N38" i="24" s="1"/>
  <c r="M37" i="24"/>
  <c r="M38" i="24" s="1"/>
  <c r="L37" i="24"/>
  <c r="L38" i="24" s="1"/>
  <c r="K37" i="24"/>
  <c r="J37" i="24"/>
  <c r="H37" i="24"/>
  <c r="F37" i="24"/>
  <c r="F38" i="24" s="1"/>
  <c r="D37" i="24"/>
  <c r="D38" i="24" s="1"/>
  <c r="O33" i="24"/>
  <c r="N33" i="24"/>
  <c r="M33" i="24"/>
  <c r="L33" i="24"/>
  <c r="K33" i="24"/>
  <c r="J33" i="24"/>
  <c r="I33" i="24"/>
  <c r="H33" i="24"/>
  <c r="G33" i="24"/>
  <c r="F33" i="24"/>
  <c r="E33" i="24"/>
  <c r="D33" i="24"/>
  <c r="I29" i="24"/>
  <c r="I71" i="24" s="1"/>
  <c r="O28" i="24"/>
  <c r="O29" i="24" s="1"/>
  <c r="N28" i="24"/>
  <c r="N29" i="24" s="1"/>
  <c r="M28" i="24"/>
  <c r="M29" i="24" s="1"/>
  <c r="K28" i="24"/>
  <c r="J28" i="24"/>
  <c r="J29" i="24" s="1"/>
  <c r="I28" i="24"/>
  <c r="G28" i="24"/>
  <c r="G29" i="24" s="1"/>
  <c r="E28" i="24"/>
  <c r="E29" i="24" s="1"/>
  <c r="D22" i="24"/>
  <c r="F16" i="24"/>
  <c r="K29" i="24" s="1"/>
  <c r="D16" i="24"/>
  <c r="O42" i="24" s="1"/>
  <c r="O64" i="24" s="1"/>
  <c r="F14" i="24"/>
  <c r="D12" i="24" s="1"/>
  <c r="D15" i="24" s="1"/>
  <c r="D7" i="24"/>
  <c r="L22" i="24" s="1"/>
  <c r="L28" i="24" s="1"/>
  <c r="L29" i="24" s="1"/>
  <c r="O85" i="23"/>
  <c r="N85" i="23"/>
  <c r="M85" i="23"/>
  <c r="L85" i="23"/>
  <c r="K85" i="23"/>
  <c r="J85" i="23"/>
  <c r="I85" i="23"/>
  <c r="H85" i="23"/>
  <c r="G85" i="23"/>
  <c r="F85" i="23"/>
  <c r="E85" i="23"/>
  <c r="D85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C85" i="23" s="1"/>
  <c r="B74" i="23"/>
  <c r="B85" i="23" s="1"/>
  <c r="O67" i="23"/>
  <c r="N67" i="23"/>
  <c r="M67" i="23"/>
  <c r="L67" i="23"/>
  <c r="K67" i="23"/>
  <c r="J67" i="23"/>
  <c r="I67" i="23"/>
  <c r="H67" i="23"/>
  <c r="G67" i="23"/>
  <c r="F67" i="23"/>
  <c r="E67" i="23"/>
  <c r="D67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K38" i="23"/>
  <c r="I38" i="23"/>
  <c r="H38" i="23"/>
  <c r="G38" i="23"/>
  <c r="E38" i="23"/>
  <c r="O37" i="23"/>
  <c r="O38" i="23" s="1"/>
  <c r="N37" i="23"/>
  <c r="N38" i="23" s="1"/>
  <c r="M37" i="23"/>
  <c r="M38" i="23" s="1"/>
  <c r="L37" i="23"/>
  <c r="L38" i="23" s="1"/>
  <c r="K37" i="23"/>
  <c r="J37" i="23"/>
  <c r="J38" i="23" s="1"/>
  <c r="H37" i="23"/>
  <c r="F37" i="23"/>
  <c r="F38" i="23" s="1"/>
  <c r="D37" i="23"/>
  <c r="D38" i="23" s="1"/>
  <c r="O33" i="23"/>
  <c r="N33" i="23"/>
  <c r="M33" i="23"/>
  <c r="L33" i="23"/>
  <c r="K33" i="23"/>
  <c r="J33" i="23"/>
  <c r="I33" i="23"/>
  <c r="H33" i="23"/>
  <c r="G33" i="23"/>
  <c r="F33" i="23"/>
  <c r="E33" i="23"/>
  <c r="D33" i="23"/>
  <c r="I29" i="23"/>
  <c r="I71" i="23" s="1"/>
  <c r="O28" i="23"/>
  <c r="O29" i="23" s="1"/>
  <c r="N28" i="23"/>
  <c r="N29" i="23" s="1"/>
  <c r="M28" i="23"/>
  <c r="M29" i="23" s="1"/>
  <c r="K28" i="23"/>
  <c r="K29" i="23" s="1"/>
  <c r="J28" i="23"/>
  <c r="I28" i="23"/>
  <c r="G28" i="23"/>
  <c r="G29" i="23" s="1"/>
  <c r="E28" i="23"/>
  <c r="E29" i="23" s="1"/>
  <c r="D22" i="23"/>
  <c r="D28" i="23" s="1"/>
  <c r="D29" i="23" s="1"/>
  <c r="F16" i="23"/>
  <c r="J29" i="23" s="1"/>
  <c r="D16" i="23"/>
  <c r="O42" i="23" s="1"/>
  <c r="O64" i="23" s="1"/>
  <c r="F14" i="23"/>
  <c r="D12" i="23" s="1"/>
  <c r="D15" i="23" s="1"/>
  <c r="D7" i="23"/>
  <c r="L22" i="23" s="1"/>
  <c r="L28" i="23" s="1"/>
  <c r="L29" i="23" s="1"/>
  <c r="O85" i="22"/>
  <c r="N85" i="22"/>
  <c r="M85" i="22"/>
  <c r="L85" i="22"/>
  <c r="K85" i="22"/>
  <c r="J85" i="22"/>
  <c r="I85" i="22"/>
  <c r="H85" i="22"/>
  <c r="G85" i="22"/>
  <c r="F85" i="22"/>
  <c r="E85" i="22"/>
  <c r="D85" i="22"/>
  <c r="B85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C85" i="22" s="1"/>
  <c r="B74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K38" i="22"/>
  <c r="J38" i="22"/>
  <c r="I38" i="22"/>
  <c r="H38" i="22"/>
  <c r="G38" i="22"/>
  <c r="E38" i="22"/>
  <c r="O37" i="22"/>
  <c r="O38" i="22" s="1"/>
  <c r="N37" i="22"/>
  <c r="N38" i="22" s="1"/>
  <c r="M37" i="22"/>
  <c r="M38" i="22" s="1"/>
  <c r="L37" i="22"/>
  <c r="L38" i="22" s="1"/>
  <c r="K37" i="22"/>
  <c r="J37" i="22"/>
  <c r="H37" i="22"/>
  <c r="F37" i="22"/>
  <c r="F38" i="22" s="1"/>
  <c r="D37" i="22"/>
  <c r="D38" i="22" s="1"/>
  <c r="O33" i="22"/>
  <c r="N33" i="22"/>
  <c r="M33" i="22"/>
  <c r="L33" i="22"/>
  <c r="K33" i="22"/>
  <c r="J33" i="22"/>
  <c r="I33" i="22"/>
  <c r="H33" i="22"/>
  <c r="G33" i="22"/>
  <c r="F33" i="22"/>
  <c r="E33" i="22"/>
  <c r="D33" i="22"/>
  <c r="J29" i="22"/>
  <c r="J68" i="22" s="1"/>
  <c r="I29" i="22"/>
  <c r="I71" i="22" s="1"/>
  <c r="O28" i="22"/>
  <c r="O29" i="22" s="1"/>
  <c r="N28" i="22"/>
  <c r="N29" i="22" s="1"/>
  <c r="M28" i="22"/>
  <c r="M29" i="22" s="1"/>
  <c r="K28" i="22"/>
  <c r="J28" i="22"/>
  <c r="I28" i="22"/>
  <c r="G28" i="22"/>
  <c r="G29" i="22" s="1"/>
  <c r="E28" i="22"/>
  <c r="E29" i="22" s="1"/>
  <c r="D22" i="22"/>
  <c r="D28" i="22" s="1"/>
  <c r="D29" i="22" s="1"/>
  <c r="F16" i="22"/>
  <c r="K29" i="22" s="1"/>
  <c r="D16" i="22"/>
  <c r="O42" i="22" s="1"/>
  <c r="O64" i="22" s="1"/>
  <c r="F14" i="22"/>
  <c r="D12" i="22" s="1"/>
  <c r="D15" i="22" s="1"/>
  <c r="D7" i="22"/>
  <c r="L22" i="22" s="1"/>
  <c r="D7" i="21"/>
  <c r="L22" i="21" s="1"/>
  <c r="D7" i="20"/>
  <c r="D7" i="19"/>
  <c r="D22" i="20"/>
  <c r="O85" i="21"/>
  <c r="N85" i="21"/>
  <c r="M85" i="21"/>
  <c r="L85" i="21"/>
  <c r="K85" i="21"/>
  <c r="J85" i="21"/>
  <c r="I85" i="21"/>
  <c r="H85" i="21"/>
  <c r="G85" i="21"/>
  <c r="F85" i="21"/>
  <c r="E85" i="21"/>
  <c r="D85" i="21"/>
  <c r="B8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C85" i="21" s="1"/>
  <c r="B74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J38" i="21"/>
  <c r="I38" i="21"/>
  <c r="H38" i="21"/>
  <c r="G38" i="21"/>
  <c r="E38" i="21"/>
  <c r="O37" i="21"/>
  <c r="O38" i="21" s="1"/>
  <c r="N37" i="21"/>
  <c r="N38" i="21" s="1"/>
  <c r="M37" i="21"/>
  <c r="M38" i="21" s="1"/>
  <c r="L37" i="21"/>
  <c r="L38" i="21" s="1"/>
  <c r="K37" i="21"/>
  <c r="K38" i="21" s="1"/>
  <c r="J37" i="21"/>
  <c r="H37" i="21"/>
  <c r="F37" i="21"/>
  <c r="F38" i="21" s="1"/>
  <c r="D37" i="21"/>
  <c r="D38" i="21" s="1"/>
  <c r="O33" i="21"/>
  <c r="N33" i="21"/>
  <c r="M33" i="21"/>
  <c r="L33" i="21"/>
  <c r="K33" i="21"/>
  <c r="J33" i="21"/>
  <c r="I33" i="21"/>
  <c r="H33" i="21"/>
  <c r="G33" i="21"/>
  <c r="F33" i="21"/>
  <c r="E33" i="21"/>
  <c r="D33" i="21"/>
  <c r="I29" i="21"/>
  <c r="I71" i="21" s="1"/>
  <c r="O28" i="21"/>
  <c r="O29" i="21" s="1"/>
  <c r="N28" i="21"/>
  <c r="N29" i="21" s="1"/>
  <c r="M28" i="21"/>
  <c r="M29" i="21" s="1"/>
  <c r="K28" i="21"/>
  <c r="J28" i="21"/>
  <c r="J29" i="21" s="1"/>
  <c r="I28" i="21"/>
  <c r="G28" i="21"/>
  <c r="G29" i="21" s="1"/>
  <c r="E28" i="21"/>
  <c r="E29" i="21" s="1"/>
  <c r="F16" i="21"/>
  <c r="K29" i="21" s="1"/>
  <c r="D16" i="21"/>
  <c r="O42" i="21" s="1"/>
  <c r="O64" i="21" s="1"/>
  <c r="F14" i="21"/>
  <c r="D12" i="21" s="1"/>
  <c r="D15" i="21" s="1"/>
  <c r="O85" i="20"/>
  <c r="N85" i="20"/>
  <c r="M85" i="20"/>
  <c r="L85" i="20"/>
  <c r="K85" i="20"/>
  <c r="J85" i="20"/>
  <c r="I85" i="20"/>
  <c r="H85" i="20"/>
  <c r="G85" i="20"/>
  <c r="F85" i="20"/>
  <c r="E85" i="20"/>
  <c r="D85" i="20"/>
  <c r="O74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C85" i="20" s="1"/>
  <c r="B74" i="20"/>
  <c r="B85" i="20" s="1"/>
  <c r="O67" i="20"/>
  <c r="N67" i="20"/>
  <c r="M67" i="20"/>
  <c r="L67" i="20"/>
  <c r="K67" i="20"/>
  <c r="J67" i="20"/>
  <c r="I67" i="20"/>
  <c r="H67" i="20"/>
  <c r="G67" i="20"/>
  <c r="F67" i="20"/>
  <c r="E67" i="20"/>
  <c r="D67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2" i="20"/>
  <c r="O64" i="20" s="1"/>
  <c r="G42" i="20"/>
  <c r="G64" i="20" s="1"/>
  <c r="O41" i="20"/>
  <c r="N41" i="20"/>
  <c r="M41" i="20"/>
  <c r="L41" i="20"/>
  <c r="K41" i="20"/>
  <c r="J41" i="20"/>
  <c r="I41" i="20"/>
  <c r="H41" i="20"/>
  <c r="G41" i="20"/>
  <c r="F41" i="20"/>
  <c r="E41" i="20"/>
  <c r="D41" i="20"/>
  <c r="O38" i="20"/>
  <c r="I38" i="20"/>
  <c r="H38" i="20"/>
  <c r="G38" i="20"/>
  <c r="E38" i="20"/>
  <c r="D38" i="20"/>
  <c r="O37" i="20"/>
  <c r="N37" i="20"/>
  <c r="N38" i="20" s="1"/>
  <c r="M37" i="20"/>
  <c r="M38" i="20" s="1"/>
  <c r="L37" i="20"/>
  <c r="L38" i="20" s="1"/>
  <c r="K37" i="20"/>
  <c r="K38" i="20" s="1"/>
  <c r="J37" i="20"/>
  <c r="J38" i="20" s="1"/>
  <c r="H37" i="20"/>
  <c r="F37" i="20"/>
  <c r="F38" i="20" s="1"/>
  <c r="D37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I29" i="20"/>
  <c r="I71" i="20" s="1"/>
  <c r="O28" i="20"/>
  <c r="O29" i="20" s="1"/>
  <c r="N28" i="20"/>
  <c r="N29" i="20" s="1"/>
  <c r="M28" i="20"/>
  <c r="M29" i="20" s="1"/>
  <c r="K28" i="20"/>
  <c r="K29" i="20" s="1"/>
  <c r="J28" i="20"/>
  <c r="J29" i="20" s="1"/>
  <c r="I28" i="20"/>
  <c r="G28" i="20"/>
  <c r="G29" i="20" s="1"/>
  <c r="E28" i="20"/>
  <c r="E29" i="20" s="1"/>
  <c r="F22" i="20"/>
  <c r="F28" i="20" s="1"/>
  <c r="F29" i="20" s="1"/>
  <c r="F16" i="20"/>
  <c r="D16" i="20"/>
  <c r="F14" i="20"/>
  <c r="D12" i="20" s="1"/>
  <c r="D15" i="20" s="1"/>
  <c r="L22" i="20"/>
  <c r="L28" i="20" s="1"/>
  <c r="L22" i="19"/>
  <c r="O85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K38" i="19"/>
  <c r="J38" i="19"/>
  <c r="I38" i="19"/>
  <c r="H38" i="19"/>
  <c r="G38" i="19"/>
  <c r="F38" i="19"/>
  <c r="E38" i="19"/>
  <c r="O37" i="19"/>
  <c r="O38" i="19" s="1"/>
  <c r="N37" i="19"/>
  <c r="N38" i="19" s="1"/>
  <c r="M37" i="19"/>
  <c r="M38" i="19" s="1"/>
  <c r="L37" i="19"/>
  <c r="L38" i="19" s="1"/>
  <c r="K37" i="19"/>
  <c r="J37" i="19"/>
  <c r="H37" i="19"/>
  <c r="F37" i="19"/>
  <c r="D37" i="19"/>
  <c r="D38" i="19" s="1"/>
  <c r="O33" i="19"/>
  <c r="N33" i="19"/>
  <c r="M33" i="19"/>
  <c r="L33" i="19"/>
  <c r="K33" i="19"/>
  <c r="J33" i="19"/>
  <c r="I33" i="19"/>
  <c r="H33" i="19"/>
  <c r="G33" i="19"/>
  <c r="F33" i="19"/>
  <c r="E33" i="19"/>
  <c r="D33" i="19"/>
  <c r="I29" i="19"/>
  <c r="I71" i="19" s="1"/>
  <c r="O28" i="19"/>
  <c r="O29" i="19" s="1"/>
  <c r="N28" i="19"/>
  <c r="N29" i="19" s="1"/>
  <c r="M28" i="19"/>
  <c r="M29" i="19" s="1"/>
  <c r="K28" i="19"/>
  <c r="J28" i="19"/>
  <c r="J29" i="19" s="1"/>
  <c r="I28" i="19"/>
  <c r="G28" i="19"/>
  <c r="G29" i="19" s="1"/>
  <c r="E28" i="19"/>
  <c r="E29" i="19" s="1"/>
  <c r="L28" i="19"/>
  <c r="L29" i="19" s="1"/>
  <c r="D22" i="19"/>
  <c r="D28" i="19" s="1"/>
  <c r="D29" i="19" s="1"/>
  <c r="F16" i="19"/>
  <c r="K29" i="19" s="1"/>
  <c r="D16" i="19"/>
  <c r="O42" i="19" s="1"/>
  <c r="O64" i="19" s="1"/>
  <c r="D15" i="19"/>
  <c r="F14" i="19"/>
  <c r="D12" i="19"/>
  <c r="H22" i="19"/>
  <c r="H28" i="19" s="1"/>
  <c r="L28" i="22" l="1"/>
  <c r="L29" i="22" s="1"/>
  <c r="L70" i="22" s="1"/>
  <c r="L28" i="25"/>
  <c r="L29" i="25" s="1"/>
  <c r="D28" i="24"/>
  <c r="D29" i="24" s="1"/>
  <c r="L28" i="21"/>
  <c r="L29" i="21" s="1"/>
  <c r="K71" i="26"/>
  <c r="K69" i="26"/>
  <c r="K70" i="26"/>
  <c r="K68" i="26"/>
  <c r="K51" i="26"/>
  <c r="K55" i="26" s="1"/>
  <c r="O70" i="26"/>
  <c r="O68" i="26"/>
  <c r="O51" i="26"/>
  <c r="O71" i="26"/>
  <c r="O69" i="26"/>
  <c r="O78" i="26" s="1"/>
  <c r="G70" i="26"/>
  <c r="G68" i="26"/>
  <c r="G51" i="26"/>
  <c r="G55" i="26" s="1"/>
  <c r="G71" i="26"/>
  <c r="G69" i="26"/>
  <c r="O63" i="26"/>
  <c r="O82" i="26"/>
  <c r="O80" i="26"/>
  <c r="O76" i="26"/>
  <c r="E70" i="26"/>
  <c r="E68" i="26"/>
  <c r="E51" i="26"/>
  <c r="E55" i="26" s="1"/>
  <c r="E71" i="26"/>
  <c r="E69" i="26"/>
  <c r="L70" i="26"/>
  <c r="L68" i="26"/>
  <c r="L51" i="26"/>
  <c r="L55" i="26" s="1"/>
  <c r="L71" i="26"/>
  <c r="L69" i="26"/>
  <c r="N71" i="26"/>
  <c r="N70" i="26"/>
  <c r="N68" i="26"/>
  <c r="N51" i="26"/>
  <c r="N55" i="26" s="1"/>
  <c r="N69" i="26"/>
  <c r="L59" i="26"/>
  <c r="M70" i="26"/>
  <c r="M68" i="26"/>
  <c r="M51" i="26"/>
  <c r="M55" i="26" s="1"/>
  <c r="M71" i="26"/>
  <c r="M69" i="26"/>
  <c r="O55" i="26"/>
  <c r="J29" i="26"/>
  <c r="I42" i="26"/>
  <c r="I64" i="26" s="1"/>
  <c r="I51" i="26"/>
  <c r="I55" i="26" s="1"/>
  <c r="I68" i="26"/>
  <c r="I70" i="26"/>
  <c r="D22" i="26"/>
  <c r="D28" i="26" s="1"/>
  <c r="D29" i="26" s="1"/>
  <c r="K42" i="26"/>
  <c r="K64" i="26" s="1"/>
  <c r="F22" i="26"/>
  <c r="F28" i="26" s="1"/>
  <c r="F29" i="26" s="1"/>
  <c r="D42" i="26"/>
  <c r="L42" i="26"/>
  <c r="H22" i="26"/>
  <c r="H28" i="26" s="1"/>
  <c r="E42" i="26"/>
  <c r="E64" i="26" s="1"/>
  <c r="M42" i="26"/>
  <c r="M64" i="26" s="1"/>
  <c r="I69" i="26"/>
  <c r="F42" i="26"/>
  <c r="N42" i="26"/>
  <c r="N64" i="26" s="1"/>
  <c r="G42" i="26"/>
  <c r="G64" i="26" s="1"/>
  <c r="N76" i="25"/>
  <c r="N63" i="25"/>
  <c r="N70" i="25"/>
  <c r="N80" i="25" s="1"/>
  <c r="N68" i="25"/>
  <c r="N51" i="25"/>
  <c r="N71" i="25"/>
  <c r="N82" i="25" s="1"/>
  <c r="N69" i="25"/>
  <c r="N78" i="25" s="1"/>
  <c r="E55" i="25"/>
  <c r="E70" i="25"/>
  <c r="E68" i="25"/>
  <c r="E51" i="25"/>
  <c r="E71" i="25"/>
  <c r="E69" i="25"/>
  <c r="G70" i="25"/>
  <c r="G80" i="25" s="1"/>
  <c r="G68" i="25"/>
  <c r="G51" i="25"/>
  <c r="G55" i="25" s="1"/>
  <c r="G71" i="25"/>
  <c r="G69" i="25"/>
  <c r="G78" i="25" s="1"/>
  <c r="O70" i="25"/>
  <c r="O68" i="25"/>
  <c r="O51" i="25"/>
  <c r="O55" i="25" s="1"/>
  <c r="O71" i="25"/>
  <c r="O69" i="25"/>
  <c r="O78" i="25" s="1"/>
  <c r="G63" i="25"/>
  <c r="G82" i="25"/>
  <c r="G76" i="25"/>
  <c r="O63" i="25"/>
  <c r="O82" i="25"/>
  <c r="O80" i="25"/>
  <c r="O76" i="25"/>
  <c r="J71" i="25"/>
  <c r="J69" i="25"/>
  <c r="J70" i="25"/>
  <c r="J68" i="25"/>
  <c r="J51" i="25"/>
  <c r="J55" i="25" s="1"/>
  <c r="L70" i="25"/>
  <c r="L68" i="25"/>
  <c r="L51" i="25"/>
  <c r="L55" i="25" s="1"/>
  <c r="L69" i="25"/>
  <c r="L71" i="25"/>
  <c r="K71" i="25"/>
  <c r="K69" i="25"/>
  <c r="K70" i="25"/>
  <c r="K68" i="25"/>
  <c r="K51" i="25"/>
  <c r="K55" i="25" s="1"/>
  <c r="N55" i="25"/>
  <c r="L59" i="25"/>
  <c r="L64" i="25" s="1"/>
  <c r="M70" i="25"/>
  <c r="M68" i="25"/>
  <c r="M51" i="25"/>
  <c r="M55" i="25" s="1"/>
  <c r="M71" i="25"/>
  <c r="M69" i="25"/>
  <c r="I42" i="25"/>
  <c r="I64" i="25" s="1"/>
  <c r="I51" i="25"/>
  <c r="I55" i="25" s="1"/>
  <c r="I68" i="25"/>
  <c r="I70" i="25"/>
  <c r="J42" i="25"/>
  <c r="J64" i="25" s="1"/>
  <c r="D22" i="25"/>
  <c r="D28" i="25" s="1"/>
  <c r="D29" i="25" s="1"/>
  <c r="K42" i="25"/>
  <c r="K64" i="25" s="1"/>
  <c r="F22" i="25"/>
  <c r="F28" i="25" s="1"/>
  <c r="F29" i="25" s="1"/>
  <c r="L42" i="25"/>
  <c r="H22" i="25"/>
  <c r="H28" i="25" s="1"/>
  <c r="E42" i="25"/>
  <c r="E64" i="25" s="1"/>
  <c r="M42" i="25"/>
  <c r="M64" i="25" s="1"/>
  <c r="I69" i="25"/>
  <c r="J63" i="24"/>
  <c r="J78" i="24"/>
  <c r="G70" i="24"/>
  <c r="G68" i="24"/>
  <c r="G51" i="24"/>
  <c r="G55" i="24" s="1"/>
  <c r="G71" i="24"/>
  <c r="G69" i="24"/>
  <c r="L70" i="24"/>
  <c r="L68" i="24"/>
  <c r="L51" i="24"/>
  <c r="L59" i="24" s="1"/>
  <c r="L71" i="24"/>
  <c r="L69" i="24"/>
  <c r="J51" i="24"/>
  <c r="J55" i="24" s="1"/>
  <c r="J71" i="24"/>
  <c r="J82" i="24" s="1"/>
  <c r="J69" i="24"/>
  <c r="J68" i="24"/>
  <c r="J76" i="24" s="1"/>
  <c r="J70" i="24"/>
  <c r="J80" i="24" s="1"/>
  <c r="E70" i="24"/>
  <c r="E68" i="24"/>
  <c r="E51" i="24"/>
  <c r="E55" i="24" s="1"/>
  <c r="E71" i="24"/>
  <c r="E69" i="24"/>
  <c r="M70" i="24"/>
  <c r="M68" i="24"/>
  <c r="M51" i="24"/>
  <c r="M55" i="24" s="1"/>
  <c r="M71" i="24"/>
  <c r="M69" i="24"/>
  <c r="K71" i="24"/>
  <c r="K69" i="24"/>
  <c r="K70" i="24"/>
  <c r="K68" i="24"/>
  <c r="K51" i="24"/>
  <c r="K55" i="24" s="1"/>
  <c r="N71" i="24"/>
  <c r="N70" i="24"/>
  <c r="N68" i="24"/>
  <c r="N51" i="24"/>
  <c r="N55" i="24" s="1"/>
  <c r="N69" i="24"/>
  <c r="O63" i="24"/>
  <c r="O76" i="24"/>
  <c r="D70" i="24"/>
  <c r="D68" i="24"/>
  <c r="D51" i="24"/>
  <c r="D59" i="24" s="1"/>
  <c r="D64" i="24" s="1"/>
  <c r="D71" i="24"/>
  <c r="D69" i="24"/>
  <c r="O70" i="24"/>
  <c r="O80" i="24" s="1"/>
  <c r="O68" i="24"/>
  <c r="O51" i="24"/>
  <c r="O55" i="24" s="1"/>
  <c r="O71" i="24"/>
  <c r="O82" i="24" s="1"/>
  <c r="O69" i="24"/>
  <c r="O78" i="24" s="1"/>
  <c r="I42" i="24"/>
  <c r="I64" i="24" s="1"/>
  <c r="I51" i="24"/>
  <c r="I55" i="24" s="1"/>
  <c r="I68" i="24"/>
  <c r="I70" i="24"/>
  <c r="K42" i="24"/>
  <c r="K64" i="24" s="1"/>
  <c r="F22" i="24"/>
  <c r="F28" i="24" s="1"/>
  <c r="F29" i="24" s="1"/>
  <c r="D42" i="24"/>
  <c r="L42" i="24"/>
  <c r="H22" i="24"/>
  <c r="H28" i="24" s="1"/>
  <c r="E42" i="24"/>
  <c r="E64" i="24" s="1"/>
  <c r="M42" i="24"/>
  <c r="M64" i="24" s="1"/>
  <c r="I69" i="24"/>
  <c r="F42" i="24"/>
  <c r="N42" i="24"/>
  <c r="N64" i="24" s="1"/>
  <c r="G42" i="24"/>
  <c r="G64" i="24" s="1"/>
  <c r="D71" i="23"/>
  <c r="D70" i="23"/>
  <c r="D68" i="23"/>
  <c r="D51" i="23"/>
  <c r="D59" i="23" s="1"/>
  <c r="D64" i="23" s="1"/>
  <c r="D69" i="23"/>
  <c r="O70" i="23"/>
  <c r="O80" i="23" s="1"/>
  <c r="O68" i="23"/>
  <c r="O51" i="23"/>
  <c r="O55" i="23" s="1"/>
  <c r="O71" i="23"/>
  <c r="O69" i="23"/>
  <c r="E70" i="23"/>
  <c r="E68" i="23"/>
  <c r="E51" i="23"/>
  <c r="E71" i="23"/>
  <c r="E69" i="23"/>
  <c r="O63" i="23"/>
  <c r="O82" i="23"/>
  <c r="O78" i="23"/>
  <c r="O76" i="23"/>
  <c r="G70" i="23"/>
  <c r="G68" i="23"/>
  <c r="G51" i="23"/>
  <c r="G55" i="23" s="1"/>
  <c r="G71" i="23"/>
  <c r="G69" i="23"/>
  <c r="J71" i="23"/>
  <c r="J69" i="23"/>
  <c r="J70" i="23"/>
  <c r="J68" i="23"/>
  <c r="J51" i="23"/>
  <c r="J55" i="23" s="1"/>
  <c r="M70" i="23"/>
  <c r="M68" i="23"/>
  <c r="M51" i="23"/>
  <c r="M71" i="23"/>
  <c r="M69" i="23"/>
  <c r="N70" i="23"/>
  <c r="N68" i="23"/>
  <c r="N51" i="23"/>
  <c r="N55" i="23" s="1"/>
  <c r="N71" i="23"/>
  <c r="N69" i="23"/>
  <c r="L71" i="23"/>
  <c r="L70" i="23"/>
  <c r="L68" i="23"/>
  <c r="L51" i="23"/>
  <c r="L59" i="23" s="1"/>
  <c r="L64" i="23" s="1"/>
  <c r="L69" i="23"/>
  <c r="M55" i="23"/>
  <c r="E55" i="23"/>
  <c r="K71" i="23"/>
  <c r="K69" i="23"/>
  <c r="K70" i="23"/>
  <c r="K68" i="23"/>
  <c r="K51" i="23"/>
  <c r="K55" i="23" s="1"/>
  <c r="I42" i="23"/>
  <c r="I64" i="23" s="1"/>
  <c r="I51" i="23"/>
  <c r="I55" i="23" s="1"/>
  <c r="I68" i="23"/>
  <c r="I70" i="23"/>
  <c r="J42" i="23"/>
  <c r="J64" i="23" s="1"/>
  <c r="K42" i="23"/>
  <c r="K64" i="23" s="1"/>
  <c r="F22" i="23"/>
  <c r="F28" i="23" s="1"/>
  <c r="F29" i="23" s="1"/>
  <c r="D42" i="23"/>
  <c r="L42" i="23"/>
  <c r="H22" i="23"/>
  <c r="H28" i="23" s="1"/>
  <c r="E42" i="23"/>
  <c r="E64" i="23" s="1"/>
  <c r="M42" i="23"/>
  <c r="M64" i="23" s="1"/>
  <c r="I69" i="23"/>
  <c r="N42" i="23"/>
  <c r="N64" i="23" s="1"/>
  <c r="G42" i="23"/>
  <c r="G64" i="23" s="1"/>
  <c r="E70" i="22"/>
  <c r="E68" i="22"/>
  <c r="E51" i="22"/>
  <c r="E55" i="22" s="1"/>
  <c r="E71" i="22"/>
  <c r="E69" i="22"/>
  <c r="G55" i="22"/>
  <c r="G70" i="22"/>
  <c r="G68" i="22"/>
  <c r="G51" i="22"/>
  <c r="G71" i="22"/>
  <c r="G69" i="22"/>
  <c r="L68" i="22"/>
  <c r="L51" i="22"/>
  <c r="L55" i="22" s="1"/>
  <c r="L69" i="22"/>
  <c r="J55" i="22"/>
  <c r="O63" i="22"/>
  <c r="O78" i="22"/>
  <c r="O76" i="22"/>
  <c r="K71" i="22"/>
  <c r="K69" i="22"/>
  <c r="K70" i="22"/>
  <c r="K68" i="22"/>
  <c r="K51" i="22"/>
  <c r="K55" i="22" s="1"/>
  <c r="N70" i="22"/>
  <c r="N68" i="22"/>
  <c r="N51" i="22"/>
  <c r="N55" i="22" s="1"/>
  <c r="N71" i="22"/>
  <c r="N69" i="22"/>
  <c r="M70" i="22"/>
  <c r="M68" i="22"/>
  <c r="M51" i="22"/>
  <c r="M55" i="22" s="1"/>
  <c r="M71" i="22"/>
  <c r="M69" i="22"/>
  <c r="D69" i="22"/>
  <c r="D70" i="22"/>
  <c r="D68" i="22"/>
  <c r="D51" i="22"/>
  <c r="D55" i="22" s="1"/>
  <c r="D71" i="22"/>
  <c r="O70" i="22"/>
  <c r="O80" i="22" s="1"/>
  <c r="O68" i="22"/>
  <c r="O51" i="22"/>
  <c r="O55" i="22" s="1"/>
  <c r="O71" i="22"/>
  <c r="O82" i="22" s="1"/>
  <c r="O69" i="22"/>
  <c r="I42" i="22"/>
  <c r="I64" i="22" s="1"/>
  <c r="I51" i="22"/>
  <c r="I55" i="22" s="1"/>
  <c r="I68" i="22"/>
  <c r="I70" i="22"/>
  <c r="J51" i="22"/>
  <c r="J70" i="22"/>
  <c r="K42" i="22"/>
  <c r="K64" i="22" s="1"/>
  <c r="F22" i="22"/>
  <c r="F28" i="22" s="1"/>
  <c r="F29" i="22" s="1"/>
  <c r="D42" i="22"/>
  <c r="L42" i="22"/>
  <c r="H22" i="22"/>
  <c r="H28" i="22" s="1"/>
  <c r="E42" i="22"/>
  <c r="E64" i="22" s="1"/>
  <c r="M42" i="22"/>
  <c r="M64" i="22" s="1"/>
  <c r="I69" i="22"/>
  <c r="J42" i="22"/>
  <c r="J64" i="22" s="1"/>
  <c r="F42" i="22"/>
  <c r="N42" i="22"/>
  <c r="N64" i="22" s="1"/>
  <c r="J69" i="22"/>
  <c r="J71" i="22"/>
  <c r="G42" i="22"/>
  <c r="G64" i="22" s="1"/>
  <c r="O63" i="21"/>
  <c r="O80" i="21"/>
  <c r="O76" i="21"/>
  <c r="N70" i="21"/>
  <c r="N68" i="21"/>
  <c r="N51" i="21"/>
  <c r="N55" i="21" s="1"/>
  <c r="N71" i="21"/>
  <c r="N69" i="21"/>
  <c r="K71" i="21"/>
  <c r="K69" i="21"/>
  <c r="K70" i="21"/>
  <c r="K68" i="21"/>
  <c r="K51" i="21"/>
  <c r="K55" i="21" s="1"/>
  <c r="O70" i="21"/>
  <c r="O68" i="21"/>
  <c r="O51" i="21"/>
  <c r="O71" i="21"/>
  <c r="O82" i="21" s="1"/>
  <c r="O69" i="21"/>
  <c r="O78" i="21" s="1"/>
  <c r="G70" i="21"/>
  <c r="G68" i="21"/>
  <c r="G51" i="21"/>
  <c r="G55" i="21" s="1"/>
  <c r="G71" i="21"/>
  <c r="G69" i="21"/>
  <c r="I55" i="21"/>
  <c r="E70" i="21"/>
  <c r="E68" i="21"/>
  <c r="E51" i="21"/>
  <c r="E55" i="21" s="1"/>
  <c r="E71" i="21"/>
  <c r="E69" i="21"/>
  <c r="J55" i="21"/>
  <c r="J68" i="21"/>
  <c r="J71" i="21"/>
  <c r="J69" i="21"/>
  <c r="J70" i="21"/>
  <c r="J51" i="21"/>
  <c r="L70" i="21"/>
  <c r="L68" i="21"/>
  <c r="L51" i="21"/>
  <c r="L55" i="21" s="1"/>
  <c r="L69" i="21"/>
  <c r="L71" i="21"/>
  <c r="M70" i="21"/>
  <c r="M68" i="21"/>
  <c r="M51" i="21"/>
  <c r="M55" i="21" s="1"/>
  <c r="M71" i="21"/>
  <c r="M69" i="21"/>
  <c r="O55" i="21"/>
  <c r="I42" i="21"/>
  <c r="I64" i="21" s="1"/>
  <c r="I51" i="21"/>
  <c r="I68" i="21"/>
  <c r="I70" i="21"/>
  <c r="D22" i="21"/>
  <c r="D28" i="21" s="1"/>
  <c r="D29" i="21" s="1"/>
  <c r="K42" i="21"/>
  <c r="K64" i="21" s="1"/>
  <c r="F22" i="21"/>
  <c r="F28" i="21" s="1"/>
  <c r="F29" i="21" s="1"/>
  <c r="D42" i="21"/>
  <c r="L42" i="21"/>
  <c r="J42" i="21"/>
  <c r="J64" i="21" s="1"/>
  <c r="H22" i="21"/>
  <c r="H28" i="21" s="1"/>
  <c r="E42" i="21"/>
  <c r="E64" i="21" s="1"/>
  <c r="M42" i="21"/>
  <c r="M64" i="21" s="1"/>
  <c r="I69" i="21"/>
  <c r="N42" i="21"/>
  <c r="N64" i="21" s="1"/>
  <c r="G42" i="21"/>
  <c r="G64" i="21" s="1"/>
  <c r="L42" i="20"/>
  <c r="L29" i="20"/>
  <c r="J71" i="20"/>
  <c r="J69" i="20"/>
  <c r="J70" i="20"/>
  <c r="J68" i="20"/>
  <c r="J51" i="20"/>
  <c r="J55" i="20" s="1"/>
  <c r="O63" i="20"/>
  <c r="O80" i="20"/>
  <c r="O76" i="20"/>
  <c r="E70" i="20"/>
  <c r="E68" i="20"/>
  <c r="E51" i="20"/>
  <c r="E71" i="20"/>
  <c r="E69" i="20"/>
  <c r="N42" i="20"/>
  <c r="N64" i="20" s="1"/>
  <c r="M70" i="20"/>
  <c r="M68" i="20"/>
  <c r="M51" i="20"/>
  <c r="M55" i="20" s="1"/>
  <c r="M71" i="20"/>
  <c r="M69" i="20"/>
  <c r="G51" i="20"/>
  <c r="G55" i="20" s="1"/>
  <c r="G70" i="20"/>
  <c r="G80" i="20" s="1"/>
  <c r="G71" i="20"/>
  <c r="G69" i="20"/>
  <c r="G78" i="20" s="1"/>
  <c r="G68" i="20"/>
  <c r="G76" i="20" s="1"/>
  <c r="I55" i="20"/>
  <c r="N70" i="20"/>
  <c r="N68" i="20"/>
  <c r="N51" i="20"/>
  <c r="N55" i="20" s="1"/>
  <c r="N71" i="20"/>
  <c r="N69" i="20"/>
  <c r="G63" i="20"/>
  <c r="G82" i="20"/>
  <c r="K70" i="20"/>
  <c r="K68" i="20"/>
  <c r="K51" i="20"/>
  <c r="K55" i="20" s="1"/>
  <c r="K69" i="20"/>
  <c r="K71" i="20"/>
  <c r="F70" i="20"/>
  <c r="F68" i="20"/>
  <c r="F51" i="20"/>
  <c r="F59" i="20" s="1"/>
  <c r="F71" i="20"/>
  <c r="F69" i="20"/>
  <c r="O71" i="20"/>
  <c r="O82" i="20" s="1"/>
  <c r="O69" i="20"/>
  <c r="O78" i="20" s="1"/>
  <c r="O68" i="20"/>
  <c r="O51" i="20"/>
  <c r="O55" i="20" s="1"/>
  <c r="O70" i="20"/>
  <c r="E55" i="20"/>
  <c r="I42" i="20"/>
  <c r="I64" i="20" s="1"/>
  <c r="I51" i="20"/>
  <c r="I68" i="20"/>
  <c r="I70" i="20"/>
  <c r="J42" i="20"/>
  <c r="J64" i="20" s="1"/>
  <c r="D28" i="20"/>
  <c r="K42" i="20"/>
  <c r="K64" i="20" s="1"/>
  <c r="H22" i="20"/>
  <c r="H28" i="20" s="1"/>
  <c r="E42" i="20"/>
  <c r="E64" i="20" s="1"/>
  <c r="M42" i="20"/>
  <c r="M64" i="20" s="1"/>
  <c r="I69" i="20"/>
  <c r="F42" i="20"/>
  <c r="O70" i="19"/>
  <c r="O80" i="19" s="1"/>
  <c r="O68" i="19"/>
  <c r="O76" i="19" s="1"/>
  <c r="O51" i="19"/>
  <c r="O55" i="19" s="1"/>
  <c r="O71" i="19"/>
  <c r="O69" i="19"/>
  <c r="E70" i="19"/>
  <c r="E68" i="19"/>
  <c r="E51" i="19"/>
  <c r="E71" i="19"/>
  <c r="E69" i="19"/>
  <c r="O63" i="19"/>
  <c r="O82" i="19"/>
  <c r="O78" i="19"/>
  <c r="L70" i="19"/>
  <c r="L68" i="19"/>
  <c r="L51" i="19"/>
  <c r="L55" i="19" s="1"/>
  <c r="L71" i="19"/>
  <c r="L69" i="19"/>
  <c r="H29" i="19"/>
  <c r="H42" i="19"/>
  <c r="G70" i="19"/>
  <c r="G68" i="19"/>
  <c r="G51" i="19"/>
  <c r="G55" i="19" s="1"/>
  <c r="G71" i="19"/>
  <c r="G69" i="19"/>
  <c r="J68" i="19"/>
  <c r="J71" i="19"/>
  <c r="J69" i="19"/>
  <c r="J70" i="19"/>
  <c r="J51" i="19"/>
  <c r="J55" i="19" s="1"/>
  <c r="K55" i="19"/>
  <c r="K71" i="19"/>
  <c r="K69" i="19"/>
  <c r="K70" i="19"/>
  <c r="K68" i="19"/>
  <c r="K51" i="19"/>
  <c r="M70" i="19"/>
  <c r="M68" i="19"/>
  <c r="M51" i="19"/>
  <c r="M55" i="19" s="1"/>
  <c r="M71" i="19"/>
  <c r="M69" i="19"/>
  <c r="D70" i="19"/>
  <c r="D68" i="19"/>
  <c r="D51" i="19"/>
  <c r="D55" i="19" s="1"/>
  <c r="D71" i="19"/>
  <c r="D69" i="19"/>
  <c r="N71" i="19"/>
  <c r="N70" i="19"/>
  <c r="N68" i="19"/>
  <c r="N51" i="19"/>
  <c r="N55" i="19" s="1"/>
  <c r="N69" i="19"/>
  <c r="E55" i="19"/>
  <c r="I42" i="19"/>
  <c r="I64" i="19" s="1"/>
  <c r="I51" i="19"/>
  <c r="I55" i="19" s="1"/>
  <c r="I68" i="19"/>
  <c r="I70" i="19"/>
  <c r="J42" i="19"/>
  <c r="J64" i="19" s="1"/>
  <c r="K42" i="19"/>
  <c r="K64" i="19" s="1"/>
  <c r="F22" i="19"/>
  <c r="F28" i="19" s="1"/>
  <c r="F29" i="19" s="1"/>
  <c r="D42" i="19"/>
  <c r="L42" i="19"/>
  <c r="E42" i="19"/>
  <c r="E64" i="19" s="1"/>
  <c r="M42" i="19"/>
  <c r="M64" i="19" s="1"/>
  <c r="I69" i="19"/>
  <c r="N42" i="19"/>
  <c r="N64" i="19" s="1"/>
  <c r="G42" i="19"/>
  <c r="G64" i="19" s="1"/>
  <c r="D7" i="5"/>
  <c r="L71" i="22" l="1"/>
  <c r="F42" i="25"/>
  <c r="D42" i="25"/>
  <c r="F42" i="23"/>
  <c r="F64" i="20"/>
  <c r="O89" i="26"/>
  <c r="O88" i="26" s="1"/>
  <c r="O77" i="26"/>
  <c r="E82" i="26"/>
  <c r="E80" i="26"/>
  <c r="E78" i="26"/>
  <c r="E76" i="26"/>
  <c r="E63" i="26"/>
  <c r="O91" i="26"/>
  <c r="O90" i="26" s="1"/>
  <c r="O79" i="26"/>
  <c r="H29" i="26"/>
  <c r="H42" i="26"/>
  <c r="O93" i="26"/>
  <c r="O92" i="26" s="1"/>
  <c r="O81" i="26"/>
  <c r="J51" i="26"/>
  <c r="J55" i="26" s="1"/>
  <c r="J71" i="26"/>
  <c r="J82" i="26" s="1"/>
  <c r="J69" i="26"/>
  <c r="J78" i="26" s="1"/>
  <c r="J68" i="26"/>
  <c r="J76" i="26" s="1"/>
  <c r="J70" i="26"/>
  <c r="J80" i="26" s="1"/>
  <c r="N63" i="26"/>
  <c r="N82" i="26"/>
  <c r="N80" i="26"/>
  <c r="N78" i="26"/>
  <c r="N76" i="26"/>
  <c r="F69" i="26"/>
  <c r="F70" i="26"/>
  <c r="F68" i="26"/>
  <c r="F51" i="26"/>
  <c r="F55" i="26" s="1"/>
  <c r="F71" i="26"/>
  <c r="G63" i="26"/>
  <c r="G82" i="26"/>
  <c r="G80" i="26"/>
  <c r="G78" i="26"/>
  <c r="G76" i="26"/>
  <c r="K63" i="26"/>
  <c r="K82" i="26"/>
  <c r="K80" i="26"/>
  <c r="K78" i="26"/>
  <c r="K76" i="26"/>
  <c r="L64" i="26"/>
  <c r="J63" i="26"/>
  <c r="D70" i="26"/>
  <c r="D68" i="26"/>
  <c r="D51" i="26"/>
  <c r="D71" i="26"/>
  <c r="D69" i="26"/>
  <c r="O87" i="26"/>
  <c r="O86" i="26" s="1"/>
  <c r="O75" i="26"/>
  <c r="I63" i="26"/>
  <c r="I82" i="26"/>
  <c r="I80" i="26"/>
  <c r="I78" i="26"/>
  <c r="I76" i="26"/>
  <c r="M82" i="26"/>
  <c r="M80" i="26"/>
  <c r="M78" i="26"/>
  <c r="M76" i="26"/>
  <c r="M63" i="26"/>
  <c r="O89" i="25"/>
  <c r="O88" i="25" s="1"/>
  <c r="O77" i="25"/>
  <c r="N89" i="25"/>
  <c r="N88" i="25" s="1"/>
  <c r="N77" i="25"/>
  <c r="G91" i="25"/>
  <c r="G90" i="25" s="1"/>
  <c r="G79" i="25"/>
  <c r="N91" i="25"/>
  <c r="N90" i="25" s="1"/>
  <c r="N79" i="25"/>
  <c r="G89" i="25"/>
  <c r="G88" i="25" s="1"/>
  <c r="G77" i="25"/>
  <c r="N93" i="25"/>
  <c r="N92" i="25" s="1"/>
  <c r="N81" i="25"/>
  <c r="O91" i="25"/>
  <c r="O90" i="25" s="1"/>
  <c r="O79" i="25"/>
  <c r="G93" i="25"/>
  <c r="G92" i="25" s="1"/>
  <c r="G81" i="25"/>
  <c r="F70" i="25"/>
  <c r="F68" i="25"/>
  <c r="F51" i="25"/>
  <c r="F55" i="25" s="1"/>
  <c r="F71" i="25"/>
  <c r="F69" i="25"/>
  <c r="I63" i="25"/>
  <c r="I82" i="25"/>
  <c r="I80" i="25"/>
  <c r="I78" i="25"/>
  <c r="I76" i="25"/>
  <c r="O93" i="25"/>
  <c r="O92" i="25" s="1"/>
  <c r="O81" i="25"/>
  <c r="N87" i="25"/>
  <c r="N86" i="25" s="1"/>
  <c r="N75" i="25"/>
  <c r="K63" i="25"/>
  <c r="K82" i="25"/>
  <c r="K80" i="25"/>
  <c r="K78" i="25"/>
  <c r="K76" i="25"/>
  <c r="L82" i="25"/>
  <c r="L80" i="25"/>
  <c r="L78" i="25"/>
  <c r="L76" i="25"/>
  <c r="L63" i="25"/>
  <c r="M82" i="25"/>
  <c r="M80" i="25"/>
  <c r="M78" i="25"/>
  <c r="M76" i="25"/>
  <c r="M63" i="25"/>
  <c r="D70" i="25"/>
  <c r="D68" i="25"/>
  <c r="D51" i="25"/>
  <c r="D71" i="25"/>
  <c r="D69" i="25"/>
  <c r="E82" i="25"/>
  <c r="E80" i="25"/>
  <c r="E78" i="25"/>
  <c r="E76" i="25"/>
  <c r="E63" i="25"/>
  <c r="J63" i="25"/>
  <c r="J82" i="25"/>
  <c r="J80" i="25"/>
  <c r="J78" i="25"/>
  <c r="J76" i="25"/>
  <c r="G87" i="25"/>
  <c r="G86" i="25" s="1"/>
  <c r="G75" i="25"/>
  <c r="H29" i="25"/>
  <c r="H42" i="25"/>
  <c r="O87" i="25"/>
  <c r="O86" i="25" s="1"/>
  <c r="O75" i="25"/>
  <c r="L64" i="24"/>
  <c r="L80" i="24" s="1"/>
  <c r="J93" i="24"/>
  <c r="J92" i="24" s="1"/>
  <c r="J81" i="24"/>
  <c r="D82" i="24"/>
  <c r="D80" i="24"/>
  <c r="D78" i="24"/>
  <c r="D76" i="24"/>
  <c r="D63" i="24"/>
  <c r="O89" i="24"/>
  <c r="O88" i="24" s="1"/>
  <c r="O77" i="24"/>
  <c r="O91" i="24"/>
  <c r="O90" i="24" s="1"/>
  <c r="O79" i="24"/>
  <c r="J91" i="24"/>
  <c r="J90" i="24" s="1"/>
  <c r="J79" i="24"/>
  <c r="O93" i="24"/>
  <c r="O92" i="24" s="1"/>
  <c r="O81" i="24"/>
  <c r="J87" i="24"/>
  <c r="J86" i="24" s="1"/>
  <c r="J75" i="24"/>
  <c r="I63" i="24"/>
  <c r="I82" i="24"/>
  <c r="I80" i="24"/>
  <c r="I78" i="24"/>
  <c r="I76" i="24"/>
  <c r="G63" i="24"/>
  <c r="G82" i="24"/>
  <c r="G80" i="24"/>
  <c r="G78" i="24"/>
  <c r="G76" i="24"/>
  <c r="N63" i="24"/>
  <c r="N82" i="24"/>
  <c r="N80" i="24"/>
  <c r="N78" i="24"/>
  <c r="N76" i="24"/>
  <c r="F69" i="24"/>
  <c r="F70" i="24"/>
  <c r="F68" i="24"/>
  <c r="F51" i="24"/>
  <c r="F71" i="24"/>
  <c r="O87" i="24"/>
  <c r="O86" i="24" s="1"/>
  <c r="O75" i="24"/>
  <c r="L55" i="24"/>
  <c r="J89" i="24"/>
  <c r="J88" i="24" s="1"/>
  <c r="J77" i="24"/>
  <c r="H29" i="24"/>
  <c r="H42" i="24"/>
  <c r="D55" i="24"/>
  <c r="K63" i="24"/>
  <c r="K82" i="24"/>
  <c r="K80" i="24"/>
  <c r="K78" i="24"/>
  <c r="K76" i="24"/>
  <c r="M82" i="24"/>
  <c r="M80" i="24"/>
  <c r="M78" i="24"/>
  <c r="M76" i="24"/>
  <c r="M63" i="24"/>
  <c r="E82" i="24"/>
  <c r="E80" i="24"/>
  <c r="E78" i="24"/>
  <c r="E76" i="24"/>
  <c r="E63" i="24"/>
  <c r="O91" i="23"/>
  <c r="O90" i="23" s="1"/>
  <c r="O79" i="23"/>
  <c r="L82" i="23"/>
  <c r="L80" i="23"/>
  <c r="L78" i="23"/>
  <c r="L76" i="23"/>
  <c r="L63" i="23"/>
  <c r="D82" i="23"/>
  <c r="D80" i="23"/>
  <c r="D78" i="23"/>
  <c r="D76" i="23"/>
  <c r="D63" i="23"/>
  <c r="K63" i="23"/>
  <c r="K82" i="23"/>
  <c r="K80" i="23"/>
  <c r="K78" i="23"/>
  <c r="K76" i="23"/>
  <c r="O89" i="23"/>
  <c r="O88" i="23" s="1"/>
  <c r="O77" i="23"/>
  <c r="J63" i="23"/>
  <c r="J82" i="23"/>
  <c r="J80" i="23"/>
  <c r="J78" i="23"/>
  <c r="J76" i="23"/>
  <c r="D55" i="23"/>
  <c r="O93" i="23"/>
  <c r="O92" i="23" s="1"/>
  <c r="O81" i="23"/>
  <c r="E82" i="23"/>
  <c r="E80" i="23"/>
  <c r="E78" i="23"/>
  <c r="E76" i="23"/>
  <c r="E63" i="23"/>
  <c r="L55" i="23"/>
  <c r="H29" i="23"/>
  <c r="H42" i="23"/>
  <c r="I63" i="23"/>
  <c r="I82" i="23"/>
  <c r="I80" i="23"/>
  <c r="I78" i="23"/>
  <c r="I76" i="23"/>
  <c r="G63" i="23"/>
  <c r="G82" i="23"/>
  <c r="G80" i="23"/>
  <c r="G78" i="23"/>
  <c r="G76" i="23"/>
  <c r="M82" i="23"/>
  <c r="M80" i="23"/>
  <c r="M78" i="23"/>
  <c r="M76" i="23"/>
  <c r="M63" i="23"/>
  <c r="N76" i="23"/>
  <c r="N80" i="23"/>
  <c r="N63" i="23"/>
  <c r="N82" i="23"/>
  <c r="N78" i="23"/>
  <c r="F70" i="23"/>
  <c r="F68" i="23"/>
  <c r="F51" i="23"/>
  <c r="F55" i="23" s="1"/>
  <c r="F71" i="23"/>
  <c r="F69" i="23"/>
  <c r="O87" i="23"/>
  <c r="O86" i="23" s="1"/>
  <c r="O75" i="23"/>
  <c r="L59" i="22"/>
  <c r="L64" i="22" s="1"/>
  <c r="L76" i="22" s="1"/>
  <c r="O93" i="22"/>
  <c r="O92" i="22" s="1"/>
  <c r="O81" i="22"/>
  <c r="O91" i="22"/>
  <c r="O90" i="22" s="1"/>
  <c r="O79" i="22"/>
  <c r="E82" i="22"/>
  <c r="E80" i="22"/>
  <c r="E78" i="22"/>
  <c r="E76" i="22"/>
  <c r="E63" i="22"/>
  <c r="G63" i="22"/>
  <c r="G82" i="22"/>
  <c r="G80" i="22"/>
  <c r="G78" i="22"/>
  <c r="G76" i="22"/>
  <c r="H29" i="22"/>
  <c r="H42" i="22"/>
  <c r="O87" i="22"/>
  <c r="O86" i="22" s="1"/>
  <c r="O75" i="22"/>
  <c r="I63" i="22"/>
  <c r="I82" i="22"/>
  <c r="I80" i="22"/>
  <c r="I78" i="22"/>
  <c r="I76" i="22"/>
  <c r="F71" i="22"/>
  <c r="F69" i="22"/>
  <c r="F70" i="22"/>
  <c r="F68" i="22"/>
  <c r="F51" i="22"/>
  <c r="D59" i="22"/>
  <c r="D64" i="22" s="1"/>
  <c r="N82" i="22"/>
  <c r="N63" i="22"/>
  <c r="N76" i="22"/>
  <c r="N78" i="22"/>
  <c r="N80" i="22"/>
  <c r="J63" i="22"/>
  <c r="J82" i="22"/>
  <c r="J80" i="22"/>
  <c r="J78" i="22"/>
  <c r="J76" i="22"/>
  <c r="K63" i="22"/>
  <c r="K82" i="22"/>
  <c r="K80" i="22"/>
  <c r="K78" i="22"/>
  <c r="K76" i="22"/>
  <c r="O89" i="22"/>
  <c r="O88" i="22" s="1"/>
  <c r="O77" i="22"/>
  <c r="M82" i="22"/>
  <c r="M80" i="22"/>
  <c r="M78" i="22"/>
  <c r="M76" i="22"/>
  <c r="M63" i="22"/>
  <c r="F42" i="19"/>
  <c r="H22" i="5"/>
  <c r="L22" i="5"/>
  <c r="D22" i="5"/>
  <c r="F22" i="5"/>
  <c r="F42" i="21"/>
  <c r="O93" i="21"/>
  <c r="O92" i="21" s="1"/>
  <c r="O81" i="21"/>
  <c r="O89" i="21"/>
  <c r="O88" i="21" s="1"/>
  <c r="O77" i="21"/>
  <c r="H29" i="21"/>
  <c r="H42" i="21"/>
  <c r="J63" i="21"/>
  <c r="J82" i="21"/>
  <c r="J80" i="21"/>
  <c r="J78" i="21"/>
  <c r="J76" i="21"/>
  <c r="G63" i="21"/>
  <c r="G82" i="21"/>
  <c r="G80" i="21"/>
  <c r="G78" i="21"/>
  <c r="G76" i="21"/>
  <c r="O87" i="21"/>
  <c r="O86" i="21" s="1"/>
  <c r="O75" i="21"/>
  <c r="F70" i="21"/>
  <c r="F68" i="21"/>
  <c r="F51" i="21"/>
  <c r="F69" i="21"/>
  <c r="F71" i="21"/>
  <c r="L59" i="21"/>
  <c r="L64" i="21" s="1"/>
  <c r="I63" i="21"/>
  <c r="I82" i="21"/>
  <c r="I80" i="21"/>
  <c r="I78" i="21"/>
  <c r="I76" i="21"/>
  <c r="N63" i="21"/>
  <c r="N82" i="21"/>
  <c r="N80" i="21"/>
  <c r="N78" i="21"/>
  <c r="N76" i="21"/>
  <c r="K63" i="21"/>
  <c r="K82" i="21"/>
  <c r="K80" i="21"/>
  <c r="K78" i="21"/>
  <c r="K76" i="21"/>
  <c r="O91" i="21"/>
  <c r="O90" i="21" s="1"/>
  <c r="O79" i="21"/>
  <c r="E82" i="21"/>
  <c r="E80" i="21"/>
  <c r="E78" i="21"/>
  <c r="E76" i="21"/>
  <c r="E63" i="21"/>
  <c r="M82" i="21"/>
  <c r="M80" i="21"/>
  <c r="M78" i="21"/>
  <c r="M76" i="21"/>
  <c r="M63" i="21"/>
  <c r="D70" i="21"/>
  <c r="D68" i="21"/>
  <c r="D51" i="21"/>
  <c r="D71" i="21"/>
  <c r="D69" i="21"/>
  <c r="F55" i="20"/>
  <c r="O77" i="20"/>
  <c r="O89" i="20"/>
  <c r="O88" i="20" s="1"/>
  <c r="F76" i="20"/>
  <c r="F63" i="20"/>
  <c r="F82" i="20"/>
  <c r="F80" i="20"/>
  <c r="F78" i="20"/>
  <c r="G75" i="20"/>
  <c r="G87" i="20"/>
  <c r="G86" i="20" s="1"/>
  <c r="G79" i="20"/>
  <c r="G91" i="20"/>
  <c r="G90" i="20" s="1"/>
  <c r="O93" i="20"/>
  <c r="O92" i="20" s="1"/>
  <c r="O81" i="20"/>
  <c r="G77" i="20"/>
  <c r="G89" i="20"/>
  <c r="G88" i="20" s="1"/>
  <c r="E82" i="20"/>
  <c r="E80" i="20"/>
  <c r="E78" i="20"/>
  <c r="E76" i="20"/>
  <c r="E63" i="20"/>
  <c r="I63" i="20"/>
  <c r="I82" i="20"/>
  <c r="I80" i="20"/>
  <c r="I78" i="20"/>
  <c r="I76" i="20"/>
  <c r="G81" i="20"/>
  <c r="G93" i="20"/>
  <c r="G92" i="20" s="1"/>
  <c r="H42" i="20"/>
  <c r="H29" i="20"/>
  <c r="O87" i="20"/>
  <c r="O86" i="20" s="1"/>
  <c r="O75" i="20"/>
  <c r="O79" i="20"/>
  <c r="O91" i="20"/>
  <c r="O90" i="20" s="1"/>
  <c r="K82" i="20"/>
  <c r="K80" i="20"/>
  <c r="K78" i="20"/>
  <c r="K76" i="20"/>
  <c r="K63" i="20"/>
  <c r="M76" i="20"/>
  <c r="M80" i="20"/>
  <c r="M82" i="20"/>
  <c r="M63" i="20"/>
  <c r="M78" i="20"/>
  <c r="D42" i="20"/>
  <c r="D29" i="20"/>
  <c r="N80" i="20"/>
  <c r="N78" i="20"/>
  <c r="N63" i="20"/>
  <c r="N76" i="20"/>
  <c r="N82" i="20"/>
  <c r="L51" i="20"/>
  <c r="L70" i="20"/>
  <c r="L68" i="20"/>
  <c r="L71" i="20"/>
  <c r="L69" i="20"/>
  <c r="J63" i="20"/>
  <c r="J82" i="20"/>
  <c r="J80" i="20"/>
  <c r="J78" i="20"/>
  <c r="J76" i="20"/>
  <c r="O91" i="19"/>
  <c r="O90" i="19" s="1"/>
  <c r="O79" i="19"/>
  <c r="O87" i="19"/>
  <c r="O86" i="19" s="1"/>
  <c r="O75" i="19"/>
  <c r="G63" i="19"/>
  <c r="G82" i="19"/>
  <c r="G80" i="19"/>
  <c r="G78" i="19"/>
  <c r="G76" i="19"/>
  <c r="I63" i="19"/>
  <c r="I82" i="19"/>
  <c r="I80" i="19"/>
  <c r="I78" i="19"/>
  <c r="I76" i="19"/>
  <c r="H71" i="19"/>
  <c r="H69" i="19"/>
  <c r="H51" i="19"/>
  <c r="H55" i="19" s="1"/>
  <c r="H70" i="19"/>
  <c r="H68" i="19"/>
  <c r="O89" i="19"/>
  <c r="O88" i="19" s="1"/>
  <c r="O77" i="19"/>
  <c r="N63" i="19"/>
  <c r="N82" i="19"/>
  <c r="N80" i="19"/>
  <c r="N78" i="19"/>
  <c r="N76" i="19"/>
  <c r="L59" i="19"/>
  <c r="L64" i="19" s="1"/>
  <c r="D59" i="19"/>
  <c r="D64" i="19" s="1"/>
  <c r="K63" i="19"/>
  <c r="K82" i="19"/>
  <c r="K80" i="19"/>
  <c r="K78" i="19"/>
  <c r="K76" i="19"/>
  <c r="O93" i="19"/>
  <c r="O92" i="19" s="1"/>
  <c r="O81" i="19"/>
  <c r="J63" i="19"/>
  <c r="J82" i="19"/>
  <c r="J80" i="19"/>
  <c r="J78" i="19"/>
  <c r="J76" i="19"/>
  <c r="M82" i="19"/>
  <c r="M80" i="19"/>
  <c r="M78" i="19"/>
  <c r="M76" i="19"/>
  <c r="M63" i="19"/>
  <c r="E82" i="19"/>
  <c r="E80" i="19"/>
  <c r="E78" i="19"/>
  <c r="E76" i="19"/>
  <c r="E63" i="19"/>
  <c r="F70" i="19"/>
  <c r="F68" i="19"/>
  <c r="F51" i="19"/>
  <c r="F71" i="19"/>
  <c r="F69" i="19"/>
  <c r="G28" i="5"/>
  <c r="O85" i="5"/>
  <c r="N85" i="5"/>
  <c r="M85" i="5"/>
  <c r="L85" i="5"/>
  <c r="K85" i="5"/>
  <c r="J85" i="5"/>
  <c r="I85" i="5"/>
  <c r="H85" i="5"/>
  <c r="G85" i="5"/>
  <c r="F85" i="5"/>
  <c r="E85" i="5"/>
  <c r="D8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C85" i="5" s="1"/>
  <c r="B74" i="5"/>
  <c r="B85" i="5" s="1"/>
  <c r="O67" i="5"/>
  <c r="N67" i="5"/>
  <c r="M67" i="5"/>
  <c r="L67" i="5"/>
  <c r="K67" i="5"/>
  <c r="J67" i="5"/>
  <c r="I67" i="5"/>
  <c r="H67" i="5"/>
  <c r="G67" i="5"/>
  <c r="F67" i="5"/>
  <c r="E67" i="5"/>
  <c r="D67" i="5"/>
  <c r="O62" i="5"/>
  <c r="N62" i="5"/>
  <c r="M62" i="5"/>
  <c r="L62" i="5"/>
  <c r="K62" i="5"/>
  <c r="J62" i="5"/>
  <c r="I62" i="5"/>
  <c r="H62" i="5"/>
  <c r="G62" i="5"/>
  <c r="F62" i="5"/>
  <c r="E62" i="5"/>
  <c r="D62" i="5"/>
  <c r="O58" i="5"/>
  <c r="N58" i="5"/>
  <c r="M58" i="5"/>
  <c r="L58" i="5"/>
  <c r="K58" i="5"/>
  <c r="J58" i="5"/>
  <c r="I58" i="5"/>
  <c r="H58" i="5"/>
  <c r="G58" i="5"/>
  <c r="F58" i="5"/>
  <c r="E58" i="5"/>
  <c r="D58" i="5"/>
  <c r="O54" i="5"/>
  <c r="N54" i="5"/>
  <c r="M54" i="5"/>
  <c r="L54" i="5"/>
  <c r="K54" i="5"/>
  <c r="J54" i="5"/>
  <c r="I54" i="5"/>
  <c r="H54" i="5"/>
  <c r="G54" i="5"/>
  <c r="F54" i="5"/>
  <c r="E54" i="5"/>
  <c r="D54" i="5"/>
  <c r="O46" i="5"/>
  <c r="N46" i="5"/>
  <c r="M46" i="5"/>
  <c r="L46" i="5"/>
  <c r="K46" i="5"/>
  <c r="J46" i="5"/>
  <c r="I46" i="5"/>
  <c r="H46" i="5"/>
  <c r="G46" i="5"/>
  <c r="F46" i="5"/>
  <c r="E46" i="5"/>
  <c r="D46" i="5"/>
  <c r="O41" i="5"/>
  <c r="N41" i="5"/>
  <c r="M41" i="5"/>
  <c r="L41" i="5"/>
  <c r="K41" i="5"/>
  <c r="J41" i="5"/>
  <c r="I41" i="5"/>
  <c r="H41" i="5"/>
  <c r="G41" i="5"/>
  <c r="F41" i="5"/>
  <c r="E41" i="5"/>
  <c r="D41" i="5"/>
  <c r="I38" i="5"/>
  <c r="G38" i="5"/>
  <c r="E38" i="5"/>
  <c r="O37" i="5"/>
  <c r="O38" i="5" s="1"/>
  <c r="N37" i="5"/>
  <c r="N38" i="5" s="1"/>
  <c r="M37" i="5"/>
  <c r="M38" i="5" s="1"/>
  <c r="L37" i="5"/>
  <c r="L38" i="5" s="1"/>
  <c r="K37" i="5"/>
  <c r="K38" i="5" s="1"/>
  <c r="J37" i="5"/>
  <c r="J38" i="5" s="1"/>
  <c r="H37" i="5"/>
  <c r="H38" i="5" s="1"/>
  <c r="F37" i="5"/>
  <c r="F38" i="5" s="1"/>
  <c r="D37" i="5"/>
  <c r="D38" i="5" s="1"/>
  <c r="O33" i="5"/>
  <c r="N33" i="5"/>
  <c r="M33" i="5"/>
  <c r="L33" i="5"/>
  <c r="K33" i="5"/>
  <c r="J33" i="5"/>
  <c r="I33" i="5"/>
  <c r="H33" i="5"/>
  <c r="G33" i="5"/>
  <c r="F33" i="5"/>
  <c r="E33" i="5"/>
  <c r="D33" i="5"/>
  <c r="O28" i="5"/>
  <c r="M28" i="5"/>
  <c r="K28" i="5"/>
  <c r="J28" i="5"/>
  <c r="I28" i="5"/>
  <c r="E28" i="5"/>
  <c r="F16" i="5"/>
  <c r="D16" i="5"/>
  <c r="F14" i="5"/>
  <c r="D12" i="5" s="1"/>
  <c r="D15" i="5" s="1"/>
  <c r="L63" i="22" l="1"/>
  <c r="L82" i="24"/>
  <c r="L81" i="24" s="1"/>
  <c r="L63" i="24"/>
  <c r="L76" i="24"/>
  <c r="L75" i="24" s="1"/>
  <c r="L78" i="24"/>
  <c r="L77" i="24" s="1"/>
  <c r="F59" i="23"/>
  <c r="F64" i="23" s="1"/>
  <c r="F76" i="23" s="1"/>
  <c r="L80" i="22"/>
  <c r="L91" i="22" s="1"/>
  <c r="L90" i="22" s="1"/>
  <c r="L82" i="22"/>
  <c r="L93" i="22" s="1"/>
  <c r="L92" i="22" s="1"/>
  <c r="L78" i="22"/>
  <c r="L77" i="22" s="1"/>
  <c r="G91" i="26"/>
  <c r="G90" i="26" s="1"/>
  <c r="G79" i="26"/>
  <c r="J89" i="26"/>
  <c r="J88" i="26" s="1"/>
  <c r="J77" i="26"/>
  <c r="M91" i="26"/>
  <c r="M90" i="26" s="1"/>
  <c r="M79" i="26"/>
  <c r="K87" i="26"/>
  <c r="K86" i="26" s="1"/>
  <c r="K75" i="26"/>
  <c r="G93" i="26"/>
  <c r="G92" i="26" s="1"/>
  <c r="G81" i="26"/>
  <c r="N87" i="26"/>
  <c r="N86" i="26" s="1"/>
  <c r="N75" i="26"/>
  <c r="J93" i="26"/>
  <c r="J92" i="26" s="1"/>
  <c r="J81" i="26"/>
  <c r="M93" i="26"/>
  <c r="M92" i="26" s="1"/>
  <c r="M81" i="26"/>
  <c r="E87" i="26"/>
  <c r="E86" i="26" s="1"/>
  <c r="E75" i="26"/>
  <c r="I75" i="26"/>
  <c r="I87" i="26"/>
  <c r="I86" i="26" s="1"/>
  <c r="K91" i="26"/>
  <c r="K90" i="26" s="1"/>
  <c r="K79" i="26"/>
  <c r="F59" i="26"/>
  <c r="F64" i="26" s="1"/>
  <c r="N91" i="26"/>
  <c r="N90" i="26" s="1"/>
  <c r="N79" i="26"/>
  <c r="E89" i="26"/>
  <c r="E88" i="26" s="1"/>
  <c r="E77" i="26"/>
  <c r="I77" i="26"/>
  <c r="I89" i="26"/>
  <c r="I88" i="26" s="1"/>
  <c r="D55" i="26"/>
  <c r="D59" i="26"/>
  <c r="D64" i="26" s="1"/>
  <c r="K93" i="26"/>
  <c r="K92" i="26" s="1"/>
  <c r="K81" i="26"/>
  <c r="N93" i="26"/>
  <c r="N92" i="26" s="1"/>
  <c r="N81" i="26"/>
  <c r="E91" i="26"/>
  <c r="E90" i="26" s="1"/>
  <c r="E79" i="26"/>
  <c r="M89" i="26"/>
  <c r="M88" i="26" s="1"/>
  <c r="M77" i="26"/>
  <c r="K89" i="26"/>
  <c r="K88" i="26" s="1"/>
  <c r="K77" i="26"/>
  <c r="I79" i="26"/>
  <c r="I91" i="26"/>
  <c r="I90" i="26" s="1"/>
  <c r="E93" i="26"/>
  <c r="E92" i="26" s="1"/>
  <c r="E81" i="26"/>
  <c r="N89" i="26"/>
  <c r="N88" i="26" s="1"/>
  <c r="N77" i="26"/>
  <c r="I81" i="26"/>
  <c r="I93" i="26"/>
  <c r="I92" i="26" s="1"/>
  <c r="G87" i="26"/>
  <c r="G86" i="26" s="1"/>
  <c r="G75" i="26"/>
  <c r="J91" i="26"/>
  <c r="J90" i="26" s="1"/>
  <c r="J79" i="26"/>
  <c r="H51" i="26"/>
  <c r="H55" i="26" s="1"/>
  <c r="H71" i="26"/>
  <c r="H69" i="26"/>
  <c r="H70" i="26"/>
  <c r="H68" i="26"/>
  <c r="L82" i="26"/>
  <c r="L80" i="26"/>
  <c r="L78" i="26"/>
  <c r="L76" i="26"/>
  <c r="L63" i="26"/>
  <c r="M87" i="26"/>
  <c r="M86" i="26" s="1"/>
  <c r="M75" i="26"/>
  <c r="G89" i="26"/>
  <c r="G88" i="26" s="1"/>
  <c r="G77" i="26"/>
  <c r="J87" i="26"/>
  <c r="J86" i="26" s="1"/>
  <c r="J75" i="26"/>
  <c r="L87" i="25"/>
  <c r="L86" i="25" s="1"/>
  <c r="L75" i="25"/>
  <c r="I81" i="25"/>
  <c r="I93" i="25"/>
  <c r="I92" i="25" s="1"/>
  <c r="E87" i="25"/>
  <c r="E86" i="25" s="1"/>
  <c r="E75" i="25"/>
  <c r="L89" i="25"/>
  <c r="L88" i="25" s="1"/>
  <c r="L77" i="25"/>
  <c r="H68" i="25"/>
  <c r="H71" i="25"/>
  <c r="H69" i="25"/>
  <c r="H51" i="25"/>
  <c r="H55" i="25" s="1"/>
  <c r="H70" i="25"/>
  <c r="H59" i="25"/>
  <c r="H64" i="25" s="1"/>
  <c r="J87" i="25"/>
  <c r="J86" i="25" s="1"/>
  <c r="J75" i="25"/>
  <c r="E91" i="25"/>
  <c r="E90" i="25" s="1"/>
  <c r="E79" i="25"/>
  <c r="M87" i="25"/>
  <c r="M86" i="25" s="1"/>
  <c r="M75" i="25"/>
  <c r="L93" i="25"/>
  <c r="L92" i="25" s="1"/>
  <c r="L81" i="25"/>
  <c r="F59" i="25"/>
  <c r="F64" i="25" s="1"/>
  <c r="J77" i="25"/>
  <c r="J89" i="25"/>
  <c r="J88" i="25" s="1"/>
  <c r="E93" i="25"/>
  <c r="E92" i="25" s="1"/>
  <c r="E81" i="25"/>
  <c r="M89" i="25"/>
  <c r="M88" i="25" s="1"/>
  <c r="M77" i="25"/>
  <c r="K87" i="25"/>
  <c r="K86" i="25" s="1"/>
  <c r="K75" i="25"/>
  <c r="J91" i="25"/>
  <c r="J90" i="25" s="1"/>
  <c r="J79" i="25"/>
  <c r="M91" i="25"/>
  <c r="M90" i="25" s="1"/>
  <c r="M79" i="25"/>
  <c r="K89" i="25"/>
  <c r="K88" i="25" s="1"/>
  <c r="K77" i="25"/>
  <c r="I75" i="25"/>
  <c r="I87" i="25"/>
  <c r="I86" i="25" s="1"/>
  <c r="E89" i="25"/>
  <c r="E88" i="25" s="1"/>
  <c r="E77" i="25"/>
  <c r="J93" i="25"/>
  <c r="J92" i="25" s="1"/>
  <c r="J81" i="25"/>
  <c r="M93" i="25"/>
  <c r="M92" i="25" s="1"/>
  <c r="M81" i="25"/>
  <c r="K91" i="25"/>
  <c r="K90" i="25" s="1"/>
  <c r="K79" i="25"/>
  <c r="I77" i="25"/>
  <c r="I89" i="25"/>
  <c r="I88" i="25" s="1"/>
  <c r="L91" i="25"/>
  <c r="L90" i="25" s="1"/>
  <c r="L79" i="25"/>
  <c r="D55" i="25"/>
  <c r="D59" i="25"/>
  <c r="D64" i="25" s="1"/>
  <c r="K93" i="25"/>
  <c r="K92" i="25" s="1"/>
  <c r="K81" i="25"/>
  <c r="I79" i="25"/>
  <c r="I91" i="25"/>
  <c r="I90" i="25" s="1"/>
  <c r="M93" i="24"/>
  <c r="M92" i="24" s="1"/>
  <c r="M81" i="24"/>
  <c r="E91" i="24"/>
  <c r="E90" i="24" s="1"/>
  <c r="E79" i="24"/>
  <c r="K93" i="24"/>
  <c r="K92" i="24" s="1"/>
  <c r="K81" i="24"/>
  <c r="D79" i="24"/>
  <c r="D91" i="24"/>
  <c r="D90" i="24" s="1"/>
  <c r="G87" i="24"/>
  <c r="G86" i="24" s="1"/>
  <c r="G75" i="24"/>
  <c r="E89" i="24"/>
  <c r="E88" i="24" s="1"/>
  <c r="E77" i="24"/>
  <c r="D87" i="24"/>
  <c r="D86" i="24" s="1"/>
  <c r="D75" i="24"/>
  <c r="K91" i="24"/>
  <c r="K90" i="24" s="1"/>
  <c r="K79" i="24"/>
  <c r="N87" i="24"/>
  <c r="N86" i="24" s="1"/>
  <c r="N75" i="24"/>
  <c r="L89" i="24"/>
  <c r="L88" i="24" s="1"/>
  <c r="M87" i="24"/>
  <c r="M86" i="24" s="1"/>
  <c r="M75" i="24"/>
  <c r="N91" i="24"/>
  <c r="N90" i="24" s="1"/>
  <c r="N79" i="24"/>
  <c r="I75" i="24"/>
  <c r="I87" i="24"/>
  <c r="I86" i="24" s="1"/>
  <c r="L91" i="24"/>
  <c r="L90" i="24" s="1"/>
  <c r="L79" i="24"/>
  <c r="D93" i="24"/>
  <c r="D92" i="24" s="1"/>
  <c r="D81" i="24"/>
  <c r="H51" i="24"/>
  <c r="H55" i="24" s="1"/>
  <c r="H71" i="24"/>
  <c r="H69" i="24"/>
  <c r="H70" i="24"/>
  <c r="H68" i="24"/>
  <c r="G89" i="24"/>
  <c r="G88" i="24" s="1"/>
  <c r="G77" i="24"/>
  <c r="G91" i="24"/>
  <c r="G90" i="24" s="1"/>
  <c r="G79" i="24"/>
  <c r="E93" i="24"/>
  <c r="E92" i="24" s="1"/>
  <c r="E81" i="24"/>
  <c r="M89" i="24"/>
  <c r="M88" i="24" s="1"/>
  <c r="M77" i="24"/>
  <c r="N93" i="24"/>
  <c r="N92" i="24" s="1"/>
  <c r="N81" i="24"/>
  <c r="I77" i="24"/>
  <c r="I89" i="24"/>
  <c r="I88" i="24" s="1"/>
  <c r="L93" i="24"/>
  <c r="L92" i="24" s="1"/>
  <c r="E87" i="24"/>
  <c r="E86" i="24" s="1"/>
  <c r="E75" i="24"/>
  <c r="I81" i="24"/>
  <c r="I93" i="24"/>
  <c r="I92" i="24" s="1"/>
  <c r="K87" i="24"/>
  <c r="K86" i="24" s="1"/>
  <c r="K75" i="24"/>
  <c r="K89" i="24"/>
  <c r="K88" i="24" s="1"/>
  <c r="K77" i="24"/>
  <c r="G93" i="24"/>
  <c r="G92" i="24" s="1"/>
  <c r="G81" i="24"/>
  <c r="D89" i="24"/>
  <c r="D88" i="24" s="1"/>
  <c r="D77" i="24"/>
  <c r="N89" i="24"/>
  <c r="N88" i="24" s="1"/>
  <c r="N77" i="24"/>
  <c r="M91" i="24"/>
  <c r="M90" i="24" s="1"/>
  <c r="M79" i="24"/>
  <c r="F59" i="24"/>
  <c r="F64" i="24" s="1"/>
  <c r="F55" i="24"/>
  <c r="I79" i="24"/>
  <c r="I91" i="24"/>
  <c r="I90" i="24" s="1"/>
  <c r="J77" i="23"/>
  <c r="J89" i="23"/>
  <c r="J88" i="23" s="1"/>
  <c r="N93" i="23"/>
  <c r="N92" i="23" s="1"/>
  <c r="N81" i="23"/>
  <c r="M93" i="23"/>
  <c r="M92" i="23" s="1"/>
  <c r="M81" i="23"/>
  <c r="I79" i="23"/>
  <c r="I91" i="23"/>
  <c r="I90" i="23" s="1"/>
  <c r="E89" i="23"/>
  <c r="E88" i="23" s="1"/>
  <c r="E77" i="23"/>
  <c r="J79" i="23"/>
  <c r="J91" i="23"/>
  <c r="J90" i="23" s="1"/>
  <c r="K93" i="23"/>
  <c r="K92" i="23" s="1"/>
  <c r="K81" i="23"/>
  <c r="G87" i="23"/>
  <c r="G86" i="23" s="1"/>
  <c r="G75" i="23"/>
  <c r="I81" i="23"/>
  <c r="I93" i="23"/>
  <c r="I92" i="23" s="1"/>
  <c r="E91" i="23"/>
  <c r="E90" i="23" s="1"/>
  <c r="E79" i="23"/>
  <c r="J81" i="23"/>
  <c r="J93" i="23"/>
  <c r="J92" i="23" s="1"/>
  <c r="L87" i="23"/>
  <c r="L86" i="23" s="1"/>
  <c r="L75" i="23"/>
  <c r="K91" i="23"/>
  <c r="K90" i="23" s="1"/>
  <c r="K79" i="23"/>
  <c r="N91" i="23"/>
  <c r="N90" i="23" s="1"/>
  <c r="N79" i="23"/>
  <c r="G89" i="23"/>
  <c r="G88" i="23" s="1"/>
  <c r="G77" i="23"/>
  <c r="E93" i="23"/>
  <c r="E92" i="23" s="1"/>
  <c r="E81" i="23"/>
  <c r="L89" i="23"/>
  <c r="L88" i="23" s="1"/>
  <c r="L77" i="23"/>
  <c r="E87" i="23"/>
  <c r="E86" i="23" s="1"/>
  <c r="E75" i="23"/>
  <c r="N87" i="23"/>
  <c r="N86" i="23" s="1"/>
  <c r="N75" i="23"/>
  <c r="G91" i="23"/>
  <c r="G90" i="23" s="1"/>
  <c r="G79" i="23"/>
  <c r="D87" i="23"/>
  <c r="D86" i="23" s="1"/>
  <c r="D75" i="23"/>
  <c r="L91" i="23"/>
  <c r="L90" i="23" s="1"/>
  <c r="L79" i="23"/>
  <c r="I77" i="23"/>
  <c r="I89" i="23"/>
  <c r="I88" i="23" s="1"/>
  <c r="G93" i="23"/>
  <c r="G92" i="23" s="1"/>
  <c r="G81" i="23"/>
  <c r="H70" i="23"/>
  <c r="H68" i="23"/>
  <c r="H51" i="23"/>
  <c r="H55" i="23" s="1"/>
  <c r="H71" i="23"/>
  <c r="H69" i="23"/>
  <c r="D89" i="23"/>
  <c r="D88" i="23" s="1"/>
  <c r="D77" i="23"/>
  <c r="L93" i="23"/>
  <c r="L92" i="23" s="1"/>
  <c r="L81" i="23"/>
  <c r="N89" i="23"/>
  <c r="N88" i="23" s="1"/>
  <c r="N77" i="23"/>
  <c r="M87" i="23"/>
  <c r="M86" i="23" s="1"/>
  <c r="M75" i="23"/>
  <c r="K87" i="23"/>
  <c r="K86" i="23" s="1"/>
  <c r="K75" i="23"/>
  <c r="D91" i="23"/>
  <c r="D90" i="23" s="1"/>
  <c r="D79" i="23"/>
  <c r="M91" i="23"/>
  <c r="M90" i="23" s="1"/>
  <c r="M79" i="23"/>
  <c r="M89" i="23"/>
  <c r="M88" i="23" s="1"/>
  <c r="M77" i="23"/>
  <c r="I75" i="23"/>
  <c r="I87" i="23"/>
  <c r="I86" i="23" s="1"/>
  <c r="J87" i="23"/>
  <c r="J86" i="23" s="1"/>
  <c r="J75" i="23"/>
  <c r="K89" i="23"/>
  <c r="K88" i="23" s="1"/>
  <c r="K77" i="23"/>
  <c r="D93" i="23"/>
  <c r="D92" i="23" s="1"/>
  <c r="D81" i="23"/>
  <c r="N89" i="22"/>
  <c r="N88" i="22" s="1"/>
  <c r="N77" i="22"/>
  <c r="E87" i="22"/>
  <c r="E86" i="22" s="1"/>
  <c r="E75" i="22"/>
  <c r="K89" i="22"/>
  <c r="K88" i="22" s="1"/>
  <c r="K77" i="22"/>
  <c r="M87" i="22"/>
  <c r="M86" i="22" s="1"/>
  <c r="M75" i="22"/>
  <c r="K91" i="22"/>
  <c r="K90" i="22" s="1"/>
  <c r="K79" i="22"/>
  <c r="N91" i="22"/>
  <c r="N90" i="22" s="1"/>
  <c r="N79" i="22"/>
  <c r="I75" i="22"/>
  <c r="I87" i="22"/>
  <c r="I86" i="22" s="1"/>
  <c r="H71" i="22"/>
  <c r="H69" i="22"/>
  <c r="H68" i="22"/>
  <c r="H51" i="22"/>
  <c r="H55" i="22" s="1"/>
  <c r="H70" i="22"/>
  <c r="E89" i="22"/>
  <c r="E88" i="22" s="1"/>
  <c r="E77" i="22"/>
  <c r="M89" i="22"/>
  <c r="M88" i="22" s="1"/>
  <c r="M77" i="22"/>
  <c r="E91" i="22"/>
  <c r="E90" i="22" s="1"/>
  <c r="E79" i="22"/>
  <c r="N87" i="22"/>
  <c r="N86" i="22" s="1"/>
  <c r="N75" i="22"/>
  <c r="E93" i="22"/>
  <c r="E92" i="22" s="1"/>
  <c r="E81" i="22"/>
  <c r="M93" i="22"/>
  <c r="M92" i="22" s="1"/>
  <c r="M81" i="22"/>
  <c r="J87" i="22"/>
  <c r="J86" i="22" s="1"/>
  <c r="J75" i="22"/>
  <c r="F55" i="22"/>
  <c r="F59" i="22"/>
  <c r="F64" i="22" s="1"/>
  <c r="I81" i="22"/>
  <c r="I93" i="22"/>
  <c r="I92" i="22" s="1"/>
  <c r="G91" i="22"/>
  <c r="G90" i="22" s="1"/>
  <c r="G79" i="22"/>
  <c r="K93" i="22"/>
  <c r="K92" i="22" s="1"/>
  <c r="K81" i="22"/>
  <c r="G87" i="22"/>
  <c r="G86" i="22" s="1"/>
  <c r="G75" i="22"/>
  <c r="G89" i="22"/>
  <c r="G88" i="22" s="1"/>
  <c r="G77" i="22"/>
  <c r="J77" i="22"/>
  <c r="J89" i="22"/>
  <c r="J88" i="22" s="1"/>
  <c r="N93" i="22"/>
  <c r="N92" i="22" s="1"/>
  <c r="N81" i="22"/>
  <c r="G93" i="22"/>
  <c r="G92" i="22" s="1"/>
  <c r="G81" i="22"/>
  <c r="I77" i="22"/>
  <c r="I89" i="22"/>
  <c r="I88" i="22" s="1"/>
  <c r="M91" i="22"/>
  <c r="M90" i="22" s="1"/>
  <c r="M79" i="22"/>
  <c r="I79" i="22"/>
  <c r="I91" i="22"/>
  <c r="I90" i="22" s="1"/>
  <c r="J79" i="22"/>
  <c r="J91" i="22"/>
  <c r="J90" i="22" s="1"/>
  <c r="D82" i="22"/>
  <c r="D80" i="22"/>
  <c r="D78" i="22"/>
  <c r="D76" i="22"/>
  <c r="D63" i="22"/>
  <c r="K87" i="22"/>
  <c r="K86" i="22" s="1"/>
  <c r="K75" i="22"/>
  <c r="J81" i="22"/>
  <c r="J93" i="22"/>
  <c r="J92" i="22" s="1"/>
  <c r="L87" i="22"/>
  <c r="L86" i="22" s="1"/>
  <c r="L75" i="22"/>
  <c r="K87" i="21"/>
  <c r="K86" i="21" s="1"/>
  <c r="K75" i="21"/>
  <c r="G89" i="21"/>
  <c r="G88" i="21" s="1"/>
  <c r="G77" i="21"/>
  <c r="N91" i="21"/>
  <c r="N90" i="21" s="1"/>
  <c r="N79" i="21"/>
  <c r="D55" i="21"/>
  <c r="D59" i="21"/>
  <c r="D64" i="21" s="1"/>
  <c r="K89" i="21"/>
  <c r="K88" i="21" s="1"/>
  <c r="K77" i="21"/>
  <c r="G91" i="21"/>
  <c r="G90" i="21" s="1"/>
  <c r="G79" i="21"/>
  <c r="L82" i="21"/>
  <c r="L80" i="21"/>
  <c r="L78" i="21"/>
  <c r="L76" i="21"/>
  <c r="L63" i="21"/>
  <c r="E87" i="21"/>
  <c r="E86" i="21" s="1"/>
  <c r="E75" i="21"/>
  <c r="K91" i="21"/>
  <c r="K90" i="21" s="1"/>
  <c r="K79" i="21"/>
  <c r="I75" i="21"/>
  <c r="I87" i="21"/>
  <c r="I86" i="21" s="1"/>
  <c r="F59" i="21"/>
  <c r="F64" i="21" s="1"/>
  <c r="F55" i="21"/>
  <c r="G93" i="21"/>
  <c r="G92" i="21" s="1"/>
  <c r="G81" i="21"/>
  <c r="H71" i="21"/>
  <c r="H69" i="21"/>
  <c r="H68" i="21"/>
  <c r="H70" i="21"/>
  <c r="H51" i="21"/>
  <c r="H55" i="21" s="1"/>
  <c r="J93" i="21"/>
  <c r="J92" i="21" s="1"/>
  <c r="J81" i="21"/>
  <c r="E89" i="21"/>
  <c r="E88" i="21" s="1"/>
  <c r="E77" i="21"/>
  <c r="K93" i="21"/>
  <c r="K92" i="21" s="1"/>
  <c r="K81" i="21"/>
  <c r="I77" i="21"/>
  <c r="I89" i="21"/>
  <c r="I88" i="21" s="1"/>
  <c r="N93" i="21"/>
  <c r="N92" i="21" s="1"/>
  <c r="N81" i="21"/>
  <c r="E91" i="21"/>
  <c r="E90" i="21" s="1"/>
  <c r="E79" i="21"/>
  <c r="I79" i="21"/>
  <c r="I91" i="21"/>
  <c r="I90" i="21" s="1"/>
  <c r="J87" i="21"/>
  <c r="J86" i="21" s="1"/>
  <c r="J75" i="21"/>
  <c r="G87" i="21"/>
  <c r="G86" i="21" s="1"/>
  <c r="G75" i="21"/>
  <c r="M87" i="21"/>
  <c r="M86" i="21" s="1"/>
  <c r="M75" i="21"/>
  <c r="E93" i="21"/>
  <c r="E92" i="21" s="1"/>
  <c r="E81" i="21"/>
  <c r="N87" i="21"/>
  <c r="N86" i="21" s="1"/>
  <c r="N75" i="21"/>
  <c r="I81" i="21"/>
  <c r="I93" i="21"/>
  <c r="I92" i="21" s="1"/>
  <c r="J89" i="21"/>
  <c r="J88" i="21" s="1"/>
  <c r="J77" i="21"/>
  <c r="M91" i="21"/>
  <c r="M90" i="21" s="1"/>
  <c r="M79" i="21"/>
  <c r="M93" i="21"/>
  <c r="M92" i="21" s="1"/>
  <c r="M81" i="21"/>
  <c r="M89" i="21"/>
  <c r="M88" i="21" s="1"/>
  <c r="M77" i="21"/>
  <c r="N89" i="21"/>
  <c r="N88" i="21" s="1"/>
  <c r="N77" i="21"/>
  <c r="J91" i="21"/>
  <c r="J90" i="21" s="1"/>
  <c r="J79" i="21"/>
  <c r="M91" i="20"/>
  <c r="M90" i="20" s="1"/>
  <c r="M79" i="20"/>
  <c r="M87" i="20"/>
  <c r="M86" i="20" s="1"/>
  <c r="M75" i="20"/>
  <c r="I79" i="20"/>
  <c r="I91" i="20"/>
  <c r="I90" i="20" s="1"/>
  <c r="F89" i="20"/>
  <c r="F88" i="20" s="1"/>
  <c r="F77" i="20"/>
  <c r="I81" i="20"/>
  <c r="I93" i="20"/>
  <c r="I92" i="20" s="1"/>
  <c r="F91" i="20"/>
  <c r="F90" i="20" s="1"/>
  <c r="F79" i="20"/>
  <c r="D70" i="20"/>
  <c r="D68" i="20"/>
  <c r="D51" i="20"/>
  <c r="D55" i="20" s="1"/>
  <c r="D71" i="20"/>
  <c r="D69" i="20"/>
  <c r="K87" i="20"/>
  <c r="K86" i="20" s="1"/>
  <c r="K75" i="20"/>
  <c r="H51" i="20"/>
  <c r="H55" i="20" s="1"/>
  <c r="H71" i="20"/>
  <c r="H69" i="20"/>
  <c r="H70" i="20"/>
  <c r="H68" i="20"/>
  <c r="F93" i="20"/>
  <c r="F92" i="20" s="1"/>
  <c r="F81" i="20"/>
  <c r="N89" i="20"/>
  <c r="N88" i="20" s="1"/>
  <c r="N77" i="20"/>
  <c r="J87" i="20"/>
  <c r="J86" i="20" s="1"/>
  <c r="J75" i="20"/>
  <c r="K89" i="20"/>
  <c r="K88" i="20" s="1"/>
  <c r="K77" i="20"/>
  <c r="I77" i="20"/>
  <c r="I89" i="20"/>
  <c r="I88" i="20" s="1"/>
  <c r="N91" i="20"/>
  <c r="N90" i="20" s="1"/>
  <c r="N79" i="20"/>
  <c r="J89" i="20"/>
  <c r="J88" i="20" s="1"/>
  <c r="J77" i="20"/>
  <c r="L55" i="20"/>
  <c r="L59" i="20"/>
  <c r="L64" i="20" s="1"/>
  <c r="M89" i="20"/>
  <c r="M88" i="20" s="1"/>
  <c r="M77" i="20"/>
  <c r="K91" i="20"/>
  <c r="K90" i="20" s="1"/>
  <c r="K79" i="20"/>
  <c r="E87" i="20"/>
  <c r="E86" i="20" s="1"/>
  <c r="E75" i="20"/>
  <c r="F87" i="20"/>
  <c r="F86" i="20" s="1"/>
  <c r="F75" i="20"/>
  <c r="J91" i="20"/>
  <c r="J90" i="20" s="1"/>
  <c r="J79" i="20"/>
  <c r="N93" i="20"/>
  <c r="N92" i="20" s="1"/>
  <c r="N81" i="20"/>
  <c r="K93" i="20"/>
  <c r="K92" i="20" s="1"/>
  <c r="K81" i="20"/>
  <c r="E89" i="20"/>
  <c r="E88" i="20" s="1"/>
  <c r="E77" i="20"/>
  <c r="E93" i="20"/>
  <c r="E92" i="20" s="1"/>
  <c r="E81" i="20"/>
  <c r="J93" i="20"/>
  <c r="J92" i="20" s="1"/>
  <c r="J81" i="20"/>
  <c r="N87" i="20"/>
  <c r="N86" i="20" s="1"/>
  <c r="N75" i="20"/>
  <c r="M93" i="20"/>
  <c r="M92" i="20" s="1"/>
  <c r="M81" i="20"/>
  <c r="I75" i="20"/>
  <c r="I87" i="20"/>
  <c r="I86" i="20" s="1"/>
  <c r="E91" i="20"/>
  <c r="E90" i="20" s="1"/>
  <c r="E79" i="20"/>
  <c r="J89" i="19"/>
  <c r="J88" i="19" s="1"/>
  <c r="J77" i="19"/>
  <c r="G89" i="19"/>
  <c r="G88" i="19" s="1"/>
  <c r="G77" i="19"/>
  <c r="E93" i="19"/>
  <c r="E92" i="19" s="1"/>
  <c r="E81" i="19"/>
  <c r="K93" i="19"/>
  <c r="K92" i="19" s="1"/>
  <c r="K81" i="19"/>
  <c r="G91" i="19"/>
  <c r="G90" i="19" s="1"/>
  <c r="G79" i="19"/>
  <c r="F55" i="19"/>
  <c r="F59" i="19"/>
  <c r="F64" i="19" s="1"/>
  <c r="J93" i="19"/>
  <c r="J92" i="19" s="1"/>
  <c r="J81" i="19"/>
  <c r="I75" i="19"/>
  <c r="I87" i="19"/>
  <c r="I86" i="19" s="1"/>
  <c r="G93" i="19"/>
  <c r="G92" i="19" s="1"/>
  <c r="G81" i="19"/>
  <c r="J87" i="19"/>
  <c r="J86" i="19" s="1"/>
  <c r="J75" i="19"/>
  <c r="E91" i="19"/>
  <c r="E90" i="19" s="1"/>
  <c r="E79" i="19"/>
  <c r="K91" i="19"/>
  <c r="K90" i="19" s="1"/>
  <c r="K79" i="19"/>
  <c r="J91" i="19"/>
  <c r="J90" i="19" s="1"/>
  <c r="J79" i="19"/>
  <c r="N93" i="19"/>
  <c r="N92" i="19" s="1"/>
  <c r="N81" i="19"/>
  <c r="M87" i="19"/>
  <c r="M86" i="19" s="1"/>
  <c r="M75" i="19"/>
  <c r="H59" i="19"/>
  <c r="H64" i="19" s="1"/>
  <c r="I77" i="19"/>
  <c r="I89" i="19"/>
  <c r="I88" i="19" s="1"/>
  <c r="K89" i="19"/>
  <c r="K88" i="19" s="1"/>
  <c r="K77" i="19"/>
  <c r="G87" i="19"/>
  <c r="G86" i="19" s="1"/>
  <c r="G75" i="19"/>
  <c r="N91" i="19"/>
  <c r="N90" i="19" s="1"/>
  <c r="N79" i="19"/>
  <c r="M89" i="19"/>
  <c r="M88" i="19" s="1"/>
  <c r="M77" i="19"/>
  <c r="D82" i="19"/>
  <c r="D80" i="19"/>
  <c r="D78" i="19"/>
  <c r="D76" i="19"/>
  <c r="D63" i="19"/>
  <c r="I79" i="19"/>
  <c r="I91" i="19"/>
  <c r="I90" i="19" s="1"/>
  <c r="E89" i="19"/>
  <c r="E88" i="19" s="1"/>
  <c r="E77" i="19"/>
  <c r="N89" i="19"/>
  <c r="N88" i="19" s="1"/>
  <c r="N77" i="19"/>
  <c r="M91" i="19"/>
  <c r="M90" i="19" s="1"/>
  <c r="M79" i="19"/>
  <c r="L82" i="19"/>
  <c r="L80" i="19"/>
  <c r="L78" i="19"/>
  <c r="L76" i="19"/>
  <c r="L63" i="19"/>
  <c r="I81" i="19"/>
  <c r="I93" i="19"/>
  <c r="I92" i="19" s="1"/>
  <c r="E87" i="19"/>
  <c r="E86" i="19" s="1"/>
  <c r="E75" i="19"/>
  <c r="M93" i="19"/>
  <c r="M92" i="19" s="1"/>
  <c r="M81" i="19"/>
  <c r="K87" i="19"/>
  <c r="K86" i="19" s="1"/>
  <c r="K75" i="19"/>
  <c r="N87" i="19"/>
  <c r="N86" i="19" s="1"/>
  <c r="N75" i="19"/>
  <c r="K29" i="5"/>
  <c r="K70" i="5" s="1"/>
  <c r="M29" i="5"/>
  <c r="M70" i="5" s="1"/>
  <c r="G29" i="5"/>
  <c r="G70" i="5" s="1"/>
  <c r="J29" i="5"/>
  <c r="D28" i="5"/>
  <c r="F28" i="5"/>
  <c r="F29" i="5" s="1"/>
  <c r="N28" i="5"/>
  <c r="N29" i="5" s="1"/>
  <c r="N51" i="5" s="1"/>
  <c r="N55" i="5" s="1"/>
  <c r="E29" i="5"/>
  <c r="I29" i="5"/>
  <c r="O29" i="5"/>
  <c r="L28" i="5"/>
  <c r="L29" i="5" s="1"/>
  <c r="O42" i="5"/>
  <c r="I42" i="5"/>
  <c r="J42" i="5"/>
  <c r="K42" i="5"/>
  <c r="K64" i="5" s="1"/>
  <c r="H28" i="5"/>
  <c r="E42" i="5"/>
  <c r="M42" i="5"/>
  <c r="G42" i="5"/>
  <c r="L87" i="24" l="1"/>
  <c r="L86" i="24" s="1"/>
  <c r="L81" i="22"/>
  <c r="H59" i="24"/>
  <c r="H64" i="24" s="1"/>
  <c r="H82" i="24" s="1"/>
  <c r="L89" i="22"/>
  <c r="L88" i="22" s="1"/>
  <c r="L79" i="22"/>
  <c r="F82" i="23"/>
  <c r="F80" i="23"/>
  <c r="F63" i="23"/>
  <c r="F78" i="23"/>
  <c r="F77" i="23" s="1"/>
  <c r="L75" i="26"/>
  <c r="L87" i="26"/>
  <c r="L86" i="26" s="1"/>
  <c r="D82" i="26"/>
  <c r="D80" i="26"/>
  <c r="D78" i="26"/>
  <c r="D76" i="26"/>
  <c r="D63" i="26"/>
  <c r="F63" i="26"/>
  <c r="F82" i="26"/>
  <c r="F80" i="26"/>
  <c r="F78" i="26"/>
  <c r="F76" i="26"/>
  <c r="L89" i="26"/>
  <c r="L88" i="26" s="1"/>
  <c r="L77" i="26"/>
  <c r="L79" i="26"/>
  <c r="L91" i="26"/>
  <c r="L90" i="26" s="1"/>
  <c r="L81" i="26"/>
  <c r="L93" i="26"/>
  <c r="L92" i="26" s="1"/>
  <c r="H59" i="26"/>
  <c r="H64" i="26" s="1"/>
  <c r="F80" i="25"/>
  <c r="F82" i="25"/>
  <c r="F63" i="25"/>
  <c r="F78" i="25"/>
  <c r="F76" i="25"/>
  <c r="D82" i="25"/>
  <c r="D80" i="25"/>
  <c r="D78" i="25"/>
  <c r="D76" i="25"/>
  <c r="D63" i="25"/>
  <c r="H63" i="25"/>
  <c r="H82" i="25"/>
  <c r="H80" i="25"/>
  <c r="H78" i="25"/>
  <c r="H76" i="25"/>
  <c r="F63" i="24"/>
  <c r="F82" i="24"/>
  <c r="F80" i="24"/>
  <c r="F78" i="24"/>
  <c r="F76" i="24"/>
  <c r="F93" i="23"/>
  <c r="F92" i="23" s="1"/>
  <c r="F81" i="23"/>
  <c r="F87" i="23"/>
  <c r="F86" i="23" s="1"/>
  <c r="F75" i="23"/>
  <c r="H59" i="23"/>
  <c r="H64" i="23" s="1"/>
  <c r="F91" i="23"/>
  <c r="F90" i="23" s="1"/>
  <c r="F79" i="23"/>
  <c r="F89" i="23"/>
  <c r="F88" i="23" s="1"/>
  <c r="D89" i="22"/>
  <c r="D88" i="22" s="1"/>
  <c r="D77" i="22"/>
  <c r="D79" i="22"/>
  <c r="D91" i="22"/>
  <c r="D90" i="22" s="1"/>
  <c r="D81" i="22"/>
  <c r="D93" i="22"/>
  <c r="D92" i="22" s="1"/>
  <c r="F82" i="22"/>
  <c r="F80" i="22"/>
  <c r="F63" i="22"/>
  <c r="F78" i="22"/>
  <c r="F76" i="22"/>
  <c r="H59" i="22"/>
  <c r="H64" i="22" s="1"/>
  <c r="D75" i="22"/>
  <c r="D87" i="22"/>
  <c r="D86" i="22" s="1"/>
  <c r="L75" i="21"/>
  <c r="L87" i="21"/>
  <c r="L86" i="21" s="1"/>
  <c r="D82" i="21"/>
  <c r="D80" i="21"/>
  <c r="D78" i="21"/>
  <c r="D76" i="21"/>
  <c r="D63" i="21"/>
  <c r="L89" i="21"/>
  <c r="L88" i="21" s="1"/>
  <c r="L77" i="21"/>
  <c r="L79" i="21"/>
  <c r="L91" i="21"/>
  <c r="L90" i="21" s="1"/>
  <c r="L93" i="21"/>
  <c r="L92" i="21" s="1"/>
  <c r="L81" i="21"/>
  <c r="F63" i="21"/>
  <c r="F82" i="21"/>
  <c r="F80" i="21"/>
  <c r="F78" i="21"/>
  <c r="F76" i="21"/>
  <c r="H59" i="21"/>
  <c r="H64" i="21" s="1"/>
  <c r="L82" i="20"/>
  <c r="L80" i="20"/>
  <c r="L78" i="20"/>
  <c r="L76" i="20"/>
  <c r="L63" i="20"/>
  <c r="H59" i="20"/>
  <c r="H64" i="20" s="1"/>
  <c r="D59" i="20"/>
  <c r="D64" i="20" s="1"/>
  <c r="H78" i="19"/>
  <c r="H80" i="19"/>
  <c r="H82" i="19"/>
  <c r="H63" i="19"/>
  <c r="H76" i="19"/>
  <c r="D75" i="19"/>
  <c r="D87" i="19"/>
  <c r="D86" i="19" s="1"/>
  <c r="D77" i="19"/>
  <c r="D89" i="19"/>
  <c r="D88" i="19" s="1"/>
  <c r="F63" i="19"/>
  <c r="F82" i="19"/>
  <c r="F80" i="19"/>
  <c r="F78" i="19"/>
  <c r="F76" i="19"/>
  <c r="L79" i="19"/>
  <c r="L91" i="19"/>
  <c r="L90" i="19" s="1"/>
  <c r="D91" i="19"/>
  <c r="D90" i="19" s="1"/>
  <c r="D79" i="19"/>
  <c r="D93" i="19"/>
  <c r="D92" i="19" s="1"/>
  <c r="D81" i="19"/>
  <c r="L93" i="19"/>
  <c r="L92" i="19" s="1"/>
  <c r="L81" i="19"/>
  <c r="L75" i="19"/>
  <c r="L87" i="19"/>
  <c r="L86" i="19" s="1"/>
  <c r="L77" i="19"/>
  <c r="L89" i="19"/>
  <c r="L88" i="19" s="1"/>
  <c r="J71" i="5"/>
  <c r="J51" i="5"/>
  <c r="M69" i="5"/>
  <c r="K51" i="5"/>
  <c r="K55" i="5" s="1"/>
  <c r="M71" i="5"/>
  <c r="M51" i="5"/>
  <c r="M55" i="5" s="1"/>
  <c r="M68" i="5"/>
  <c r="K68" i="5"/>
  <c r="K76" i="5" s="1"/>
  <c r="K69" i="5"/>
  <c r="K78" i="5" s="1"/>
  <c r="K71" i="5"/>
  <c r="K82" i="5" s="1"/>
  <c r="G69" i="5"/>
  <c r="G71" i="5"/>
  <c r="G51" i="5"/>
  <c r="G55" i="5" s="1"/>
  <c r="G68" i="5"/>
  <c r="F70" i="5"/>
  <c r="I71" i="5"/>
  <c r="J68" i="5"/>
  <c r="E69" i="5"/>
  <c r="J70" i="5"/>
  <c r="J69" i="5"/>
  <c r="L68" i="5"/>
  <c r="O71" i="5"/>
  <c r="N71" i="5"/>
  <c r="O68" i="5"/>
  <c r="M64" i="5"/>
  <c r="I68" i="5"/>
  <c r="I70" i="5"/>
  <c r="I69" i="5"/>
  <c r="I51" i="5"/>
  <c r="I55" i="5" s="1"/>
  <c r="N68" i="5"/>
  <c r="N70" i="5"/>
  <c r="N42" i="5"/>
  <c r="N69" i="5"/>
  <c r="E71" i="5"/>
  <c r="E51" i="5"/>
  <c r="E55" i="5" s="1"/>
  <c r="E68" i="5"/>
  <c r="O51" i="5"/>
  <c r="O55" i="5" s="1"/>
  <c r="O70" i="5"/>
  <c r="E70" i="5"/>
  <c r="O69" i="5"/>
  <c r="F42" i="5"/>
  <c r="F71" i="5"/>
  <c r="F51" i="5"/>
  <c r="F59" i="5" s="1"/>
  <c r="F69" i="5"/>
  <c r="F68" i="5"/>
  <c r="L69" i="5"/>
  <c r="L71" i="5"/>
  <c r="L42" i="5"/>
  <c r="L70" i="5"/>
  <c r="L51" i="5"/>
  <c r="L55" i="5" s="1"/>
  <c r="D29" i="5"/>
  <c r="D42" i="5"/>
  <c r="H29" i="5"/>
  <c r="H42" i="5"/>
  <c r="K63" i="5"/>
  <c r="K80" i="5"/>
  <c r="H76" i="24" l="1"/>
  <c r="H87" i="24" s="1"/>
  <c r="H86" i="24" s="1"/>
  <c r="H80" i="24"/>
  <c r="H63" i="24"/>
  <c r="H78" i="24"/>
  <c r="D77" i="26"/>
  <c r="D89" i="26"/>
  <c r="D88" i="26" s="1"/>
  <c r="F87" i="26"/>
  <c r="F86" i="26" s="1"/>
  <c r="F75" i="26"/>
  <c r="H82" i="26"/>
  <c r="H76" i="26"/>
  <c r="H80" i="26"/>
  <c r="H63" i="26"/>
  <c r="H78" i="26"/>
  <c r="F89" i="26"/>
  <c r="F88" i="26" s="1"/>
  <c r="F77" i="26"/>
  <c r="D81" i="26"/>
  <c r="D93" i="26"/>
  <c r="D92" i="26" s="1"/>
  <c r="F91" i="26"/>
  <c r="F90" i="26" s="1"/>
  <c r="F79" i="26"/>
  <c r="D75" i="26"/>
  <c r="D87" i="26"/>
  <c r="D86" i="26" s="1"/>
  <c r="D79" i="26"/>
  <c r="D91" i="26"/>
  <c r="D90" i="26" s="1"/>
  <c r="F93" i="26"/>
  <c r="F92" i="26" s="1"/>
  <c r="F81" i="26"/>
  <c r="D89" i="25"/>
  <c r="D88" i="25" s="1"/>
  <c r="D77" i="25"/>
  <c r="H75" i="25"/>
  <c r="H87" i="25"/>
  <c r="H86" i="25" s="1"/>
  <c r="H79" i="25"/>
  <c r="H91" i="25"/>
  <c r="H90" i="25" s="1"/>
  <c r="F87" i="25"/>
  <c r="F86" i="25" s="1"/>
  <c r="F75" i="25"/>
  <c r="D91" i="25"/>
  <c r="D90" i="25" s="1"/>
  <c r="D79" i="25"/>
  <c r="H81" i="25"/>
  <c r="H93" i="25"/>
  <c r="H92" i="25" s="1"/>
  <c r="F89" i="25"/>
  <c r="F88" i="25" s="1"/>
  <c r="F77" i="25"/>
  <c r="H77" i="25"/>
  <c r="H89" i="25"/>
  <c r="H88" i="25" s="1"/>
  <c r="F93" i="25"/>
  <c r="F92" i="25" s="1"/>
  <c r="F81" i="25"/>
  <c r="D93" i="25"/>
  <c r="D92" i="25" s="1"/>
  <c r="D81" i="25"/>
  <c r="D87" i="25"/>
  <c r="D86" i="25" s="1"/>
  <c r="D75" i="25"/>
  <c r="F91" i="25"/>
  <c r="F90" i="25" s="1"/>
  <c r="F79" i="25"/>
  <c r="F91" i="24"/>
  <c r="F90" i="24" s="1"/>
  <c r="F79" i="24"/>
  <c r="H79" i="24"/>
  <c r="H91" i="24"/>
  <c r="H90" i="24" s="1"/>
  <c r="F87" i="24"/>
  <c r="F86" i="24" s="1"/>
  <c r="F75" i="24"/>
  <c r="H77" i="24"/>
  <c r="H89" i="24"/>
  <c r="H88" i="24" s="1"/>
  <c r="F93" i="24"/>
  <c r="F92" i="24" s="1"/>
  <c r="F81" i="24"/>
  <c r="F89" i="24"/>
  <c r="F88" i="24" s="1"/>
  <c r="F77" i="24"/>
  <c r="H81" i="24"/>
  <c r="H93" i="24"/>
  <c r="H92" i="24" s="1"/>
  <c r="H63" i="23"/>
  <c r="H82" i="23"/>
  <c r="H80" i="23"/>
  <c r="H78" i="23"/>
  <c r="H76" i="23"/>
  <c r="F93" i="22"/>
  <c r="F92" i="22" s="1"/>
  <c r="F81" i="22"/>
  <c r="H76" i="22"/>
  <c r="H82" i="22"/>
  <c r="H80" i="22"/>
  <c r="H63" i="22"/>
  <c r="H78" i="22"/>
  <c r="F91" i="22"/>
  <c r="F90" i="22" s="1"/>
  <c r="F79" i="22"/>
  <c r="F89" i="22"/>
  <c r="F88" i="22" s="1"/>
  <c r="F77" i="22"/>
  <c r="F87" i="22"/>
  <c r="F86" i="22" s="1"/>
  <c r="F75" i="22"/>
  <c r="F91" i="21"/>
  <c r="F90" i="21" s="1"/>
  <c r="F79" i="21"/>
  <c r="H82" i="21"/>
  <c r="H80" i="21"/>
  <c r="H78" i="21"/>
  <c r="H63" i="21"/>
  <c r="H76" i="21"/>
  <c r="D79" i="21"/>
  <c r="D91" i="21"/>
  <c r="D90" i="21" s="1"/>
  <c r="F93" i="21"/>
  <c r="F92" i="21" s="1"/>
  <c r="F81" i="21"/>
  <c r="D75" i="21"/>
  <c r="D87" i="21"/>
  <c r="D86" i="21" s="1"/>
  <c r="D77" i="21"/>
  <c r="D89" i="21"/>
  <c r="D88" i="21" s="1"/>
  <c r="D81" i="21"/>
  <c r="D93" i="21"/>
  <c r="D92" i="21" s="1"/>
  <c r="F87" i="21"/>
  <c r="F86" i="21" s="1"/>
  <c r="F75" i="21"/>
  <c r="F89" i="21"/>
  <c r="F88" i="21" s="1"/>
  <c r="F77" i="21"/>
  <c r="D82" i="20"/>
  <c r="D80" i="20"/>
  <c r="D78" i="20"/>
  <c r="D76" i="20"/>
  <c r="D63" i="20"/>
  <c r="H63" i="20"/>
  <c r="H82" i="20"/>
  <c r="H80" i="20"/>
  <c r="H78" i="20"/>
  <c r="H76" i="20"/>
  <c r="L87" i="20"/>
  <c r="L86" i="20" s="1"/>
  <c r="L75" i="20"/>
  <c r="L89" i="20"/>
  <c r="L88" i="20" s="1"/>
  <c r="L77" i="20"/>
  <c r="L91" i="20"/>
  <c r="L90" i="20" s="1"/>
  <c r="L79" i="20"/>
  <c r="L93" i="20"/>
  <c r="L92" i="20" s="1"/>
  <c r="L81" i="20"/>
  <c r="F87" i="19"/>
  <c r="F86" i="19" s="1"/>
  <c r="F75" i="19"/>
  <c r="H75" i="19"/>
  <c r="H87" i="19"/>
  <c r="H86" i="19" s="1"/>
  <c r="F91" i="19"/>
  <c r="F90" i="19" s="1"/>
  <c r="F79" i="19"/>
  <c r="H81" i="19"/>
  <c r="H93" i="19"/>
  <c r="H92" i="19" s="1"/>
  <c r="F89" i="19"/>
  <c r="F88" i="19" s="1"/>
  <c r="F77" i="19"/>
  <c r="F93" i="19"/>
  <c r="F92" i="19" s="1"/>
  <c r="F81" i="19"/>
  <c r="H79" i="19"/>
  <c r="H91" i="19"/>
  <c r="H90" i="19" s="1"/>
  <c r="H77" i="19"/>
  <c r="H89" i="19"/>
  <c r="H88" i="19" s="1"/>
  <c r="L59" i="5"/>
  <c r="L64" i="5" s="1"/>
  <c r="J55" i="5"/>
  <c r="J64" i="5"/>
  <c r="J76" i="5" s="1"/>
  <c r="M78" i="5"/>
  <c r="M89" i="5" s="1"/>
  <c r="M88" i="5" s="1"/>
  <c r="G64" i="5"/>
  <c r="G63" i="5" s="1"/>
  <c r="I64" i="5"/>
  <c r="E64" i="5"/>
  <c r="E82" i="5" s="1"/>
  <c r="E93" i="5" s="1"/>
  <c r="E92" i="5" s="1"/>
  <c r="N64" i="5"/>
  <c r="N76" i="5" s="1"/>
  <c r="N75" i="5" s="1"/>
  <c r="O64" i="5"/>
  <c r="O78" i="5" s="1"/>
  <c r="O89" i="5" s="1"/>
  <c r="O88" i="5" s="1"/>
  <c r="M82" i="5"/>
  <c r="M93" i="5" s="1"/>
  <c r="M92" i="5" s="1"/>
  <c r="M80" i="5"/>
  <c r="M91" i="5" s="1"/>
  <c r="M90" i="5" s="1"/>
  <c r="M63" i="5"/>
  <c r="M76" i="5"/>
  <c r="M87" i="5" s="1"/>
  <c r="M86" i="5" s="1"/>
  <c r="F55" i="5"/>
  <c r="F64" i="5"/>
  <c r="D70" i="5"/>
  <c r="D68" i="5"/>
  <c r="D51" i="5"/>
  <c r="D55" i="5" s="1"/>
  <c r="D71" i="5"/>
  <c r="D69" i="5"/>
  <c r="K89" i="5"/>
  <c r="K88" i="5" s="1"/>
  <c r="K77" i="5"/>
  <c r="K87" i="5"/>
  <c r="K86" i="5" s="1"/>
  <c r="K75" i="5"/>
  <c r="K91" i="5"/>
  <c r="K90" i="5" s="1"/>
  <c r="K79" i="5"/>
  <c r="K93" i="5"/>
  <c r="K92" i="5" s="1"/>
  <c r="K81" i="5"/>
  <c r="H68" i="5"/>
  <c r="H71" i="5"/>
  <c r="H69" i="5"/>
  <c r="H70" i="5"/>
  <c r="H51" i="5"/>
  <c r="H55" i="5" s="1"/>
  <c r="H75" i="24" l="1"/>
  <c r="H79" i="26"/>
  <c r="H91" i="26"/>
  <c r="H90" i="26" s="1"/>
  <c r="H81" i="26"/>
  <c r="H93" i="26"/>
  <c r="H92" i="26" s="1"/>
  <c r="H75" i="26"/>
  <c r="H87" i="26"/>
  <c r="H86" i="26" s="1"/>
  <c r="H77" i="26"/>
  <c r="H89" i="26"/>
  <c r="H88" i="26" s="1"/>
  <c r="H75" i="23"/>
  <c r="H87" i="23"/>
  <c r="H86" i="23" s="1"/>
  <c r="H89" i="23"/>
  <c r="H88" i="23" s="1"/>
  <c r="H77" i="23"/>
  <c r="H79" i="23"/>
  <c r="H91" i="23"/>
  <c r="H90" i="23" s="1"/>
  <c r="H81" i="23"/>
  <c r="H93" i="23"/>
  <c r="H92" i="23" s="1"/>
  <c r="H77" i="22"/>
  <c r="H89" i="22"/>
  <c r="H88" i="22" s="1"/>
  <c r="H79" i="22"/>
  <c r="H91" i="22"/>
  <c r="H90" i="22" s="1"/>
  <c r="H81" i="22"/>
  <c r="H93" i="22"/>
  <c r="H92" i="22" s="1"/>
  <c r="H75" i="22"/>
  <c r="H87" i="22"/>
  <c r="H86" i="22" s="1"/>
  <c r="H75" i="21"/>
  <c r="H87" i="21"/>
  <c r="H86" i="21" s="1"/>
  <c r="H77" i="21"/>
  <c r="H89" i="21"/>
  <c r="H88" i="21" s="1"/>
  <c r="H81" i="21"/>
  <c r="H93" i="21"/>
  <c r="H92" i="21" s="1"/>
  <c r="H79" i="21"/>
  <c r="H91" i="21"/>
  <c r="H90" i="21" s="1"/>
  <c r="H79" i="20"/>
  <c r="H91" i="20"/>
  <c r="H90" i="20" s="1"/>
  <c r="D89" i="20"/>
  <c r="D88" i="20" s="1"/>
  <c r="D77" i="20"/>
  <c r="H75" i="20"/>
  <c r="H87" i="20"/>
  <c r="H86" i="20" s="1"/>
  <c r="D91" i="20"/>
  <c r="D90" i="20" s="1"/>
  <c r="D79" i="20"/>
  <c r="H81" i="20"/>
  <c r="H93" i="20"/>
  <c r="H92" i="20" s="1"/>
  <c r="D87" i="20"/>
  <c r="D86" i="20" s="1"/>
  <c r="D75" i="20"/>
  <c r="H77" i="20"/>
  <c r="H89" i="20"/>
  <c r="H88" i="20" s="1"/>
  <c r="D93" i="20"/>
  <c r="D92" i="20" s="1"/>
  <c r="D81" i="20"/>
  <c r="H59" i="5"/>
  <c r="H64" i="5" s="1"/>
  <c r="H82" i="5" s="1"/>
  <c r="J75" i="5"/>
  <c r="J87" i="5"/>
  <c r="J86" i="5" s="1"/>
  <c r="J78" i="5"/>
  <c r="J63" i="5"/>
  <c r="J82" i="5"/>
  <c r="J80" i="5"/>
  <c r="M77" i="5"/>
  <c r="G78" i="5"/>
  <c r="G89" i="5" s="1"/>
  <c r="G88" i="5" s="1"/>
  <c r="G76" i="5"/>
  <c r="G80" i="5"/>
  <c r="G82" i="5"/>
  <c r="G93" i="5" s="1"/>
  <c r="G92" i="5" s="1"/>
  <c r="N87" i="5"/>
  <c r="N86" i="5" s="1"/>
  <c r="N80" i="5"/>
  <c r="N91" i="5" s="1"/>
  <c r="N90" i="5" s="1"/>
  <c r="M81" i="5"/>
  <c r="M75" i="5"/>
  <c r="N63" i="5"/>
  <c r="N82" i="5"/>
  <c r="N93" i="5" s="1"/>
  <c r="N92" i="5" s="1"/>
  <c r="E81" i="5"/>
  <c r="D59" i="5"/>
  <c r="D64" i="5" s="1"/>
  <c r="D82" i="5" s="1"/>
  <c r="E63" i="5"/>
  <c r="E78" i="5"/>
  <c r="E76" i="5"/>
  <c r="N78" i="5"/>
  <c r="N89" i="5" s="1"/>
  <c r="N88" i="5" s="1"/>
  <c r="M79" i="5"/>
  <c r="E80" i="5"/>
  <c r="I63" i="5"/>
  <c r="I82" i="5"/>
  <c r="I78" i="5"/>
  <c r="I80" i="5"/>
  <c r="I76" i="5"/>
  <c r="O77" i="5"/>
  <c r="O76" i="5"/>
  <c r="O63" i="5"/>
  <c r="O82" i="5"/>
  <c r="O80" i="5"/>
  <c r="F82" i="5"/>
  <c r="F80" i="5"/>
  <c r="F78" i="5"/>
  <c r="F76" i="5"/>
  <c r="F63" i="5"/>
  <c r="L63" i="5"/>
  <c r="L82" i="5"/>
  <c r="L78" i="5"/>
  <c r="L80" i="5"/>
  <c r="L76" i="5"/>
  <c r="J81" i="5" l="1"/>
  <c r="J93" i="5"/>
  <c r="J92" i="5" s="1"/>
  <c r="J77" i="5"/>
  <c r="J89" i="5"/>
  <c r="J88" i="5" s="1"/>
  <c r="J79" i="5"/>
  <c r="J91" i="5"/>
  <c r="J90" i="5" s="1"/>
  <c r="G77" i="5"/>
  <c r="G91" i="5"/>
  <c r="G90" i="5" s="1"/>
  <c r="G79" i="5"/>
  <c r="G81" i="5"/>
  <c r="G75" i="5"/>
  <c r="G87" i="5"/>
  <c r="G86" i="5" s="1"/>
  <c r="N79" i="5"/>
  <c r="N81" i="5"/>
  <c r="N77" i="5"/>
  <c r="E79" i="5"/>
  <c r="E91" i="5"/>
  <c r="E90" i="5" s="1"/>
  <c r="I75" i="5"/>
  <c r="I87" i="5"/>
  <c r="I86" i="5" s="1"/>
  <c r="I81" i="5"/>
  <c r="I93" i="5"/>
  <c r="I92" i="5" s="1"/>
  <c r="I79" i="5"/>
  <c r="I91" i="5"/>
  <c r="I90" i="5" s="1"/>
  <c r="E87" i="5"/>
  <c r="E86" i="5" s="1"/>
  <c r="E75" i="5"/>
  <c r="I77" i="5"/>
  <c r="I89" i="5"/>
  <c r="I88" i="5" s="1"/>
  <c r="E77" i="5"/>
  <c r="E89" i="5"/>
  <c r="E88" i="5" s="1"/>
  <c r="O79" i="5"/>
  <c r="O91" i="5"/>
  <c r="O90" i="5" s="1"/>
  <c r="O93" i="5"/>
  <c r="O92" i="5" s="1"/>
  <c r="O81" i="5"/>
  <c r="O75" i="5"/>
  <c r="O87" i="5"/>
  <c r="O86" i="5" s="1"/>
  <c r="H76" i="5"/>
  <c r="H87" i="5" s="1"/>
  <c r="H86" i="5" s="1"/>
  <c r="H78" i="5"/>
  <c r="H77" i="5" s="1"/>
  <c r="H80" i="5"/>
  <c r="H91" i="5" s="1"/>
  <c r="H90" i="5" s="1"/>
  <c r="H63" i="5"/>
  <c r="D63" i="5"/>
  <c r="D76" i="5"/>
  <c r="D75" i="5" s="1"/>
  <c r="D78" i="5"/>
  <c r="D89" i="5" s="1"/>
  <c r="D88" i="5" s="1"/>
  <c r="D80" i="5"/>
  <c r="D91" i="5" s="1"/>
  <c r="D90" i="5" s="1"/>
  <c r="F93" i="5"/>
  <c r="F92" i="5" s="1"/>
  <c r="F81" i="5"/>
  <c r="F87" i="5"/>
  <c r="F86" i="5" s="1"/>
  <c r="F75" i="5"/>
  <c r="F77" i="5"/>
  <c r="F89" i="5"/>
  <c r="F88" i="5" s="1"/>
  <c r="F91" i="5"/>
  <c r="F90" i="5" s="1"/>
  <c r="F79" i="5"/>
  <c r="L87" i="5"/>
  <c r="L86" i="5" s="1"/>
  <c r="L75" i="5"/>
  <c r="L91" i="5"/>
  <c r="L90" i="5" s="1"/>
  <c r="L79" i="5"/>
  <c r="L77" i="5"/>
  <c r="L89" i="5"/>
  <c r="L88" i="5" s="1"/>
  <c r="L81" i="5"/>
  <c r="L93" i="5"/>
  <c r="L92" i="5" s="1"/>
  <c r="H81" i="5"/>
  <c r="H93" i="5"/>
  <c r="H92" i="5" s="1"/>
  <c r="D93" i="5"/>
  <c r="D92" i="5" s="1"/>
  <c r="D81" i="5"/>
  <c r="H89" i="5" l="1"/>
  <c r="H88" i="5" s="1"/>
  <c r="H75" i="5"/>
  <c r="D87" i="5"/>
  <c r="D86" i="5" s="1"/>
  <c r="D77" i="5"/>
  <c r="D79" i="5"/>
  <c r="H79" i="5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<sst xmlns="http://schemas.openxmlformats.org/spreadsheetml/2006/main" count="1089" uniqueCount="107">
  <si>
    <t xml:space="preserve"> MATRIZ COSTEO PRODUCTO INTERNACIONAL</t>
  </si>
  <si>
    <t>PRODUCTO:</t>
  </si>
  <si>
    <t xml:space="preserve">HOTEL </t>
  </si>
  <si>
    <t>VIGENCIA DE VENTA</t>
  </si>
  <si>
    <t>FECHAS DE VIAJES</t>
  </si>
  <si>
    <t>DESTINO:</t>
  </si>
  <si>
    <t>NOMBRE DEL PROGRAMA</t>
  </si>
  <si>
    <t xml:space="preserve">N° DE NOCHES </t>
  </si>
  <si>
    <t>VIGENCIA DE VIAJE</t>
  </si>
  <si>
    <t>CODIGO:</t>
  </si>
  <si>
    <t>CREADO POR :</t>
  </si>
  <si>
    <t xml:space="preserve">FECHA DE CREACION </t>
  </si>
  <si>
    <t xml:space="preserve">COSTEO TIQUETE </t>
  </si>
  <si>
    <t>TIPO DE PROVEDOR</t>
  </si>
  <si>
    <t xml:space="preserve">NOMBRE PROVEEDOR </t>
  </si>
  <si>
    <t xml:space="preserve">DESCRIPCION TARIFA </t>
  </si>
  <si>
    <t xml:space="preserve">VALORES </t>
  </si>
  <si>
    <t xml:space="preserve"> BASE COMISIONABLE TKT</t>
  </si>
  <si>
    <t xml:space="preserve"> BASE NO COMISIONABLE TKT</t>
  </si>
  <si>
    <t>MARK COP TKT</t>
  </si>
  <si>
    <t>IMPUESTOS Y CARGOS DEL TKT (iva, tasas)</t>
  </si>
  <si>
    <t xml:space="preserve">VALOR TIQUETE PLAN </t>
  </si>
  <si>
    <t>MARK COP  PT</t>
  </si>
  <si>
    <t>COSTOS Y VALORES NETOS OPERADORES PT Y BASE COMISIONABLE</t>
  </si>
  <si>
    <t xml:space="preserve">INFORMACION OPERADORES </t>
  </si>
  <si>
    <t>VALORES POR TIPO DE ACOMODACION POR PERSONA</t>
  </si>
  <si>
    <t>PLAN SGL</t>
  </si>
  <si>
    <t>N.A SGL</t>
  </si>
  <si>
    <t xml:space="preserve">PLAN DBL </t>
  </si>
  <si>
    <t>N.A DBL</t>
  </si>
  <si>
    <t>PLAN TPL</t>
  </si>
  <si>
    <t>N.A TPL</t>
  </si>
  <si>
    <t>PLAN CDP</t>
  </si>
  <si>
    <t>N.A CDP</t>
  </si>
  <si>
    <t>N.A CHD</t>
  </si>
  <si>
    <t xml:space="preserve">TOTAL COSTOS NETOS OPERADORES A PAGAR </t>
  </si>
  <si>
    <t xml:space="preserve">COSTOS Y VALORES NO COMISIONABLES OPERADORES </t>
  </si>
  <si>
    <t xml:space="preserve">TIPO DE OPERADOR </t>
  </si>
  <si>
    <t xml:space="preserve">NOMBRE OPERADOR </t>
  </si>
  <si>
    <t xml:space="preserve">IVA TARIFA ADMINISTRATIVA </t>
  </si>
  <si>
    <t>TOTAL COSTOS NO COMISIONABLES OPERADORES</t>
  </si>
  <si>
    <t xml:space="preserve">COSTOS TOTALES A PAGAR OPERADORES POR ACOMODACION </t>
  </si>
  <si>
    <t xml:space="preserve">COSTOS TOTALES A PAGAR OPERADORES </t>
  </si>
  <si>
    <t>.</t>
  </si>
  <si>
    <t>DESCRIPCION DE INGRESOS PROPIOS</t>
  </si>
  <si>
    <t xml:space="preserve">VALORES POR TIPO DE ACOMODACION POR PERSONA </t>
  </si>
  <si>
    <t>TARIFA ADMINITRATIVA (TA)</t>
  </si>
  <si>
    <t>TOTAL COSTOS E INGRESOS PROPIOS</t>
  </si>
  <si>
    <t xml:space="preserve">BASE NO COMISIONABLE </t>
  </si>
  <si>
    <t xml:space="preserve">INGRESO POR TIPO DE ACOMODACION POR ACOMODACION </t>
  </si>
  <si>
    <t>INGRESO VENTA</t>
  </si>
  <si>
    <t>COMISION PVI  O AGENCIAS DE VIAJES POR CATEGORIA</t>
  </si>
  <si>
    <t xml:space="preserve">CATEGORIA </t>
  </si>
  <si>
    <t xml:space="preserve">% DE COMISION </t>
  </si>
  <si>
    <t>CATG, A</t>
  </si>
  <si>
    <t>CATG, B</t>
  </si>
  <si>
    <t>CATG, C</t>
  </si>
  <si>
    <t>CATG, D</t>
  </si>
  <si>
    <t>INGRESO MENOS COMISION PVI  O AGENCIAS DE VIAJES</t>
  </si>
  <si>
    <t xml:space="preserve">INGRESO POR UTILIDAD NETA POR TIPO DE ACOMODACION POR PERSONA </t>
  </si>
  <si>
    <t>UTILIDAD MENOS IVA 19%</t>
  </si>
  <si>
    <t>INCLUYE:</t>
  </si>
  <si>
    <t>NO INCLUYE:</t>
  </si>
  <si>
    <t>OBSEVACIONES:</t>
  </si>
  <si>
    <t>DATOS OPERADORES:</t>
  </si>
  <si>
    <t>ALIMENTACIÒN</t>
  </si>
  <si>
    <t xml:space="preserve">HABITACIÒN </t>
  </si>
  <si>
    <t xml:space="preserve">N° DE DÌAS </t>
  </si>
  <si>
    <t xml:space="preserve">AEROLÌNEA </t>
  </si>
  <si>
    <t>VALOR PAGO AEROLÌNEA EN USD</t>
  </si>
  <si>
    <t xml:space="preserve">DESCRIPCIÒN TARIFA </t>
  </si>
  <si>
    <t xml:space="preserve"> BASE COMISIONABLE PORCIÒN TERRETRE </t>
  </si>
  <si>
    <t xml:space="preserve">CARGOS E INGRESOS PROPIOS POR ACOMODACIÒN </t>
  </si>
  <si>
    <t xml:space="preserve">FEE EMSIÒN TKT </t>
  </si>
  <si>
    <t xml:space="preserve">CARGO POR PORTECCIÒN </t>
  </si>
  <si>
    <t xml:space="preserve">CARGOS NO COMISIONABLES POR ACOMODACIÒN </t>
  </si>
  <si>
    <t>PRECIO VENTA PÙBLICO</t>
  </si>
  <si>
    <t xml:space="preserve">PRECIO VENTA PÙBLICO POR ACOMODACIÒN </t>
  </si>
  <si>
    <t>COMISIÒN PVI  O AGENCIAS DE VIAJES POR CATEGORIA</t>
  </si>
  <si>
    <t xml:space="preserve">INGRESO MENOS COMISIÒN PVI O AGENCIA  POR TIPO DE ACOMODACIÒN POR PERSONA </t>
  </si>
  <si>
    <t>FEE BANCARIO</t>
  </si>
  <si>
    <t>-</t>
  </si>
  <si>
    <t xml:space="preserve">OPERADOR </t>
  </si>
  <si>
    <t>SEGURO</t>
  </si>
  <si>
    <t>NIÑO 13 - 17 AÑOS</t>
  </si>
  <si>
    <t>TARJETA DE ASISTENCIA</t>
  </si>
  <si>
    <t xml:space="preserve">PORCION TERRESTRE </t>
  </si>
  <si>
    <t xml:space="preserve">TERRAWIND </t>
  </si>
  <si>
    <t>ESTANDAR</t>
  </si>
  <si>
    <t>NIÑO 2 - 11AÑOS</t>
  </si>
  <si>
    <t xml:space="preserve">MEXITOURS </t>
  </si>
  <si>
    <t>MEXICO</t>
  </si>
  <si>
    <t>21 DE ENERO AL 15 DE DICIEMBRE 2025</t>
  </si>
  <si>
    <t>KAROL MORA</t>
  </si>
  <si>
    <t>21 DE ENERO 2025</t>
  </si>
  <si>
    <t xml:space="preserve">Regente City (MEX) </t>
  </si>
  <si>
    <t>DESAYUNOS</t>
  </si>
  <si>
    <t xml:space="preserve"> 02 Ene al 15 Dic No opera en Fechas fórmula 1, muertos ni celebración a la virgen.
Tour a Basílica &amp; Teotihuacán el 21 de Marzo, 11 y 12 de Diciembre.</t>
  </si>
  <si>
    <t xml:space="preserve">Imperial Reforma (AB) o similar (MEX) </t>
  </si>
  <si>
    <t xml:space="preserve">Royal Reforma (BB) o similar (MEX) </t>
  </si>
  <si>
    <t xml:space="preserve">Casablanca (BB) o similar (MEX) </t>
  </si>
  <si>
    <t>MEXICO BASICO</t>
  </si>
  <si>
    <t xml:space="preserve">Majestic (BB) o similar (MEX) </t>
  </si>
  <si>
    <t xml:space="preserve">Galería Plaza (BB) o similar (MEX) </t>
  </si>
  <si>
    <t xml:space="preserve">Histórico Central (AB) o similar (MEX) </t>
  </si>
  <si>
    <t xml:space="preserve"> Barceló (BB) o similar (MEX) </t>
  </si>
  <si>
    <t xml:space="preserve">Sheraton Ma. Isabel (BB) o similar (MEX)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</si>
</sst>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d&quot; &quot;mmmm&quot;, &quot;yyyy"/>
    <numFmt numFmtId="166" formatCode="[$USD]#,##0"/>
    <numFmt numFmtId="167" formatCode="[$USD]#,##0.0"/>
  </numFmts>
  <fonts count="24" x14ac:knownFonts="1">
    <font>
      <sz val="10"/>
      <color rgb="FF000000"/>
      <name val="Arial"/>
      <scheme val="minor"/>
    </font>
    <font>
      <b/>
      <sz val="13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EA4335"/>
      <name val="Arial"/>
      <family val="2"/>
    </font>
    <font>
      <b/>
      <sz val="12"/>
      <color theme="5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7"/>
      <color rgb="FFC0000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9BD673"/>
        <bgColor rgb="FF9BD673"/>
      </patternFill>
    </fill>
    <fill>
      <patternFill patternType="solid">
        <fgColor rgb="FF999999"/>
        <bgColor rgb="FF999999"/>
      </patternFill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  <fill>
      <patternFill patternType="solid">
        <fgColor rgb="FFBDBDBD"/>
        <bgColor rgb="FFBDBDBD"/>
      </patternFill>
    </fill>
    <fill>
      <patternFill patternType="solid">
        <fgColor theme="7"/>
        <bgColor theme="7"/>
      </patternFill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D5A6BD"/>
        <bgColor rgb="FFD5A6BD"/>
      </patternFill>
    </fill>
    <fill>
      <patternFill patternType="solid">
        <fgColor rgb="FFE69138"/>
        <bgColor rgb="FFE69138"/>
      </patternFill>
    </fill>
    <fill>
      <patternFill patternType="solid">
        <fgColor rgb="FF76A5AF"/>
        <bgColor rgb="FF76A5AF"/>
      </patternFill>
    </fill>
    <fill>
      <patternFill patternType="solid">
        <fgColor rgb="FFF1C232"/>
        <bgColor rgb="FFF1C232"/>
      </patternFill>
    </fill>
    <fill>
      <patternFill patternType="solid">
        <fgColor rgb="FFB6D7A8"/>
        <bgColor rgb="FFB6D7A8"/>
      </patternFill>
    </fill>
    <fill>
      <patternFill patternType="solid">
        <fgColor rgb="FFBF9000"/>
        <bgColor rgb="FFBF9000"/>
      </patternFill>
    </fill>
    <fill>
      <patternFill patternType="solid">
        <fgColor rgb="FF6FA8DC"/>
        <bgColor rgb="FF6FA8DC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rgb="FF93C47D"/>
      </patternFill>
    </fill>
    <fill>
      <patternFill patternType="solid">
        <fgColor rgb="FFFFFF00"/>
        <bgColor rgb="FF93C47D"/>
      </patternFill>
    </fill>
  </fills>
  <borders count="114">
    <border>
      <left/>
      <right/>
      <top/>
      <bottom/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/>
      <bottom style="thin">
        <color rgb="FF000000"/>
      </bottom>
      <diagonal/>
    </border>
    <border>
      <left style="double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3" borderId="1" xfId="0" applyNumberFormat="1" applyFont="1" applyFill="1" applyBorder="1" applyAlignment="1">
      <alignment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6" fillId="3" borderId="6" xfId="0" applyNumberFormat="1" applyFont="1" applyFill="1" applyBorder="1" applyAlignment="1">
      <alignment vertical="center" wrapText="1"/>
    </xf>
    <xf numFmtId="164" fontId="5" fillId="0" borderId="6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6" fillId="3" borderId="8" xfId="0" applyNumberFormat="1" applyFont="1" applyFill="1" applyBorder="1" applyAlignment="1">
      <alignment vertical="center" wrapText="1"/>
    </xf>
    <xf numFmtId="164" fontId="7" fillId="4" borderId="15" xfId="0" applyNumberFormat="1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6" fontId="3" fillId="5" borderId="18" xfId="0" applyNumberFormat="1" applyFont="1" applyFill="1" applyBorder="1" applyAlignment="1">
      <alignment horizontal="center" vertical="center" wrapText="1"/>
    </xf>
    <xf numFmtId="166" fontId="3" fillId="0" borderId="18" xfId="0" applyNumberFormat="1" applyFont="1" applyBorder="1" applyAlignment="1">
      <alignment horizontal="center" vertical="center" wrapText="1"/>
    </xf>
    <xf numFmtId="166" fontId="6" fillId="9" borderId="18" xfId="0" applyNumberFormat="1" applyFont="1" applyFill="1" applyBorder="1" applyAlignment="1">
      <alignment horizontal="center" vertical="center" wrapText="1"/>
    </xf>
    <xf numFmtId="164" fontId="7" fillId="4" borderId="27" xfId="0" applyNumberFormat="1" applyFont="1" applyFill="1" applyBorder="1" applyAlignment="1">
      <alignment horizontal="center" vertical="center" wrapText="1"/>
    </xf>
    <xf numFmtId="164" fontId="7" fillId="4" borderId="28" xfId="0" applyNumberFormat="1" applyFont="1" applyFill="1" applyBorder="1" applyAlignment="1">
      <alignment horizontal="center" vertical="center" wrapText="1"/>
    </xf>
    <xf numFmtId="164" fontId="7" fillId="4" borderId="29" xfId="0" applyNumberFormat="1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164" fontId="7" fillId="4" borderId="30" xfId="0" applyNumberFormat="1" applyFont="1" applyFill="1" applyBorder="1" applyAlignment="1">
      <alignment horizontal="center" vertical="center" wrapText="1"/>
    </xf>
    <xf numFmtId="166" fontId="3" fillId="13" borderId="44" xfId="0" applyNumberFormat="1" applyFont="1" applyFill="1" applyBorder="1" applyAlignment="1">
      <alignment horizontal="center" vertical="center" wrapText="1"/>
    </xf>
    <xf numFmtId="166" fontId="3" fillId="13" borderId="45" xfId="0" applyNumberFormat="1" applyFont="1" applyFill="1" applyBorder="1" applyAlignment="1">
      <alignment horizontal="center" vertical="center" wrapText="1"/>
    </xf>
    <xf numFmtId="166" fontId="9" fillId="7" borderId="29" xfId="0" applyNumberFormat="1" applyFont="1" applyFill="1" applyBorder="1" applyAlignment="1">
      <alignment horizontal="center" vertical="center" wrapText="1"/>
    </xf>
    <xf numFmtId="166" fontId="9" fillId="7" borderId="30" xfId="0" applyNumberFormat="1" applyFont="1" applyFill="1" applyBorder="1" applyAlignment="1">
      <alignment horizontal="center" vertical="center" wrapText="1"/>
    </xf>
    <xf numFmtId="164" fontId="13" fillId="4" borderId="27" xfId="0" applyNumberFormat="1" applyFont="1" applyFill="1" applyBorder="1" applyAlignment="1">
      <alignment horizontal="center" vertical="center" wrapText="1"/>
    </xf>
    <xf numFmtId="164" fontId="13" fillId="4" borderId="28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6" fontId="7" fillId="4" borderId="29" xfId="0" applyNumberFormat="1" applyFont="1" applyFill="1" applyBorder="1" applyAlignment="1">
      <alignment horizontal="center" vertical="center" wrapText="1"/>
    </xf>
    <xf numFmtId="166" fontId="3" fillId="7" borderId="52" xfId="0" applyNumberFormat="1" applyFont="1" applyFill="1" applyBorder="1" applyAlignment="1">
      <alignment horizontal="center" vertical="center" wrapText="1"/>
    </xf>
    <xf numFmtId="166" fontId="3" fillId="7" borderId="9" xfId="0" applyNumberFormat="1" applyFont="1" applyFill="1" applyBorder="1" applyAlignment="1">
      <alignment horizontal="center" vertical="center" wrapText="1"/>
    </xf>
    <xf numFmtId="166" fontId="3" fillId="7" borderId="25" xfId="0" applyNumberFormat="1" applyFont="1" applyFill="1" applyBorder="1" applyAlignment="1">
      <alignment horizontal="center" vertical="center" wrapText="1"/>
    </xf>
    <xf numFmtId="166" fontId="3" fillId="7" borderId="8" xfId="0" applyNumberFormat="1" applyFont="1" applyFill="1" applyBorder="1" applyAlignment="1">
      <alignment horizontal="center" vertical="center" wrapText="1"/>
    </xf>
    <xf numFmtId="9" fontId="6" fillId="7" borderId="49" xfId="0" applyNumberFormat="1" applyFont="1" applyFill="1" applyBorder="1" applyAlignment="1">
      <alignment horizontal="center" vertical="center" wrapText="1"/>
    </xf>
    <xf numFmtId="164" fontId="6" fillId="18" borderId="22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6" fillId="19" borderId="31" xfId="0" applyNumberFormat="1" applyFont="1" applyFill="1" applyBorder="1" applyAlignment="1">
      <alignment horizontal="center" vertical="center" wrapText="1"/>
    </xf>
    <xf numFmtId="9" fontId="6" fillId="19" borderId="33" xfId="0" applyNumberFormat="1" applyFont="1" applyFill="1" applyBorder="1" applyAlignment="1">
      <alignment horizontal="center" vertical="center" wrapText="1"/>
    </xf>
    <xf numFmtId="166" fontId="3" fillId="7" borderId="31" xfId="0" applyNumberFormat="1" applyFont="1" applyFill="1" applyBorder="1" applyAlignment="1">
      <alignment horizontal="center" vertical="center" wrapText="1"/>
    </xf>
    <xf numFmtId="164" fontId="3" fillId="7" borderId="54" xfId="0" applyNumberFormat="1" applyFont="1" applyFill="1" applyBorder="1" applyAlignment="1">
      <alignment horizontal="center" vertical="center" wrapText="1"/>
    </xf>
    <xf numFmtId="166" fontId="3" fillId="7" borderId="55" xfId="0" applyNumberFormat="1" applyFont="1" applyFill="1" applyBorder="1" applyAlignment="1">
      <alignment horizontal="center" vertical="center" wrapText="1"/>
    </xf>
    <xf numFmtId="164" fontId="6" fillId="19" borderId="34" xfId="0" applyNumberFormat="1" applyFont="1" applyFill="1" applyBorder="1" applyAlignment="1">
      <alignment horizontal="center" vertical="center" wrapText="1"/>
    </xf>
    <xf numFmtId="9" fontId="6" fillId="19" borderId="18" xfId="0" applyNumberFormat="1" applyFont="1" applyFill="1" applyBorder="1" applyAlignment="1">
      <alignment horizontal="center" vertical="center" wrapText="1"/>
    </xf>
    <xf numFmtId="164" fontId="3" fillId="7" borderId="56" xfId="0" applyNumberFormat="1" applyFont="1" applyFill="1" applyBorder="1" applyAlignment="1">
      <alignment horizontal="center" vertical="center" wrapText="1"/>
    </xf>
    <xf numFmtId="164" fontId="6" fillId="19" borderId="50" xfId="0" applyNumberFormat="1" applyFont="1" applyFill="1" applyBorder="1" applyAlignment="1">
      <alignment horizontal="center" vertical="center" wrapText="1"/>
    </xf>
    <xf numFmtId="9" fontId="6" fillId="19" borderId="26" xfId="0" applyNumberFormat="1" applyFont="1" applyFill="1" applyBorder="1" applyAlignment="1">
      <alignment horizontal="center" vertical="center" wrapText="1"/>
    </xf>
    <xf numFmtId="164" fontId="3" fillId="7" borderId="23" xfId="0" applyNumberFormat="1" applyFont="1" applyFill="1" applyBorder="1" applyAlignment="1">
      <alignment horizontal="center" vertical="center" wrapText="1"/>
    </xf>
    <xf numFmtId="166" fontId="3" fillId="7" borderId="57" xfId="0" applyNumberFormat="1" applyFont="1" applyFill="1" applyBorder="1" applyAlignment="1">
      <alignment horizontal="center" vertical="center" wrapText="1"/>
    </xf>
    <xf numFmtId="164" fontId="6" fillId="12" borderId="8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 wrapText="1"/>
    </xf>
    <xf numFmtId="9" fontId="16" fillId="7" borderId="6" xfId="0" applyNumberFormat="1" applyFont="1" applyFill="1" applyBorder="1" applyAlignment="1">
      <alignment horizontal="center" vertical="center" wrapText="1"/>
    </xf>
    <xf numFmtId="166" fontId="3" fillId="7" borderId="6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vertical="center"/>
    </xf>
    <xf numFmtId="164" fontId="6" fillId="21" borderId="8" xfId="0" applyNumberFormat="1" applyFont="1" applyFill="1" applyBorder="1" applyAlignment="1">
      <alignment horizontal="center" vertical="center" wrapText="1"/>
    </xf>
    <xf numFmtId="9" fontId="16" fillId="7" borderId="49" xfId="0" applyNumberFormat="1" applyFont="1" applyFill="1" applyBorder="1" applyAlignment="1">
      <alignment horizontal="center" vertical="center" wrapText="1"/>
    </xf>
    <xf numFmtId="166" fontId="3" fillId="7" borderId="49" xfId="0" applyNumberFormat="1" applyFont="1" applyFill="1" applyBorder="1" applyAlignment="1">
      <alignment horizontal="center" vertical="center" wrapText="1"/>
    </xf>
    <xf numFmtId="166" fontId="3" fillId="7" borderId="10" xfId="0" applyNumberFormat="1" applyFont="1" applyFill="1" applyBorder="1" applyAlignment="1">
      <alignment horizontal="center" vertical="center" wrapText="1"/>
    </xf>
    <xf numFmtId="164" fontId="3" fillId="0" borderId="59" xfId="0" applyNumberFormat="1" applyFont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7" fillId="23" borderId="22" xfId="0" applyNumberFormat="1" applyFont="1" applyFill="1" applyBorder="1" applyAlignment="1">
      <alignment vertical="center" wrapText="1"/>
    </xf>
    <xf numFmtId="164" fontId="5" fillId="0" borderId="42" xfId="0" applyNumberFormat="1" applyFont="1" applyBorder="1" applyAlignment="1">
      <alignment vertical="center"/>
    </xf>
    <xf numFmtId="164" fontId="7" fillId="23" borderId="22" xfId="0" applyNumberFormat="1" applyFont="1" applyFill="1" applyBorder="1" applyAlignment="1">
      <alignment horizontal="left" vertical="center" wrapText="1"/>
    </xf>
    <xf numFmtId="164" fontId="5" fillId="0" borderId="51" xfId="0" applyNumberFormat="1" applyFont="1" applyBorder="1" applyAlignment="1">
      <alignment vertical="center"/>
    </xf>
    <xf numFmtId="164" fontId="5" fillId="0" borderId="6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5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67" xfId="0" applyNumberFormat="1" applyFont="1" applyBorder="1" applyAlignment="1">
      <alignment vertical="center"/>
    </xf>
    <xf numFmtId="164" fontId="3" fillId="0" borderId="67" xfId="0" applyNumberFormat="1" applyFont="1" applyBorder="1" applyAlignment="1">
      <alignment horizontal="center" vertical="center" wrapText="1"/>
    </xf>
    <xf numFmtId="164" fontId="3" fillId="0" borderId="69" xfId="0" applyNumberFormat="1" applyFont="1" applyBorder="1" applyAlignment="1">
      <alignment horizontal="center" vertical="center" wrapText="1"/>
    </xf>
    <xf numFmtId="164" fontId="7" fillId="4" borderId="71" xfId="0" applyNumberFormat="1" applyFont="1" applyFill="1" applyBorder="1" applyAlignment="1">
      <alignment horizontal="center" vertical="center" wrapText="1"/>
    </xf>
    <xf numFmtId="164" fontId="3" fillId="5" borderId="72" xfId="0" applyNumberFormat="1" applyFont="1" applyFill="1" applyBorder="1" applyAlignment="1">
      <alignment horizontal="center" vertical="center" wrapText="1"/>
    </xf>
    <xf numFmtId="9" fontId="11" fillId="8" borderId="74" xfId="0" applyNumberFormat="1" applyFont="1" applyFill="1" applyBorder="1" applyAlignment="1">
      <alignment horizontal="center" vertical="center" wrapText="1"/>
    </xf>
    <xf numFmtId="4" fontId="12" fillId="8" borderId="74" xfId="0" applyNumberFormat="1" applyFont="1" applyFill="1" applyBorder="1" applyAlignment="1">
      <alignment horizontal="center" vertical="center" wrapText="1"/>
    </xf>
    <xf numFmtId="9" fontId="7" fillId="10" borderId="74" xfId="0" applyNumberFormat="1" applyFont="1" applyFill="1" applyBorder="1" applyAlignment="1">
      <alignment horizontal="center" vertical="center" wrapText="1"/>
    </xf>
    <xf numFmtId="4" fontId="7" fillId="10" borderId="74" xfId="0" applyNumberFormat="1" applyFont="1" applyFill="1" applyBorder="1" applyAlignment="1">
      <alignment horizontal="center" vertical="center" wrapText="1"/>
    </xf>
    <xf numFmtId="164" fontId="7" fillId="4" borderId="78" xfId="0" applyNumberFormat="1" applyFont="1" applyFill="1" applyBorder="1" applyAlignment="1">
      <alignment horizontal="center" vertical="center" wrapText="1"/>
    </xf>
    <xf numFmtId="164" fontId="7" fillId="4" borderId="76" xfId="0" applyNumberFormat="1" applyFont="1" applyFill="1" applyBorder="1" applyAlignment="1">
      <alignment horizontal="center" vertical="center" wrapText="1"/>
    </xf>
    <xf numFmtId="166" fontId="3" fillId="13" borderId="84" xfId="0" applyNumberFormat="1" applyFont="1" applyFill="1" applyBorder="1" applyAlignment="1">
      <alignment horizontal="center" vertical="center" wrapText="1"/>
    </xf>
    <xf numFmtId="166" fontId="9" fillId="7" borderId="85" xfId="0" applyNumberFormat="1" applyFont="1" applyFill="1" applyBorder="1" applyAlignment="1">
      <alignment horizontal="center" vertical="center" wrapText="1"/>
    </xf>
    <xf numFmtId="164" fontId="13" fillId="4" borderId="78" xfId="0" applyNumberFormat="1" applyFont="1" applyFill="1" applyBorder="1" applyAlignment="1">
      <alignment horizontal="center" vertical="center" wrapText="1"/>
    </xf>
    <xf numFmtId="164" fontId="7" fillId="4" borderId="74" xfId="0" applyNumberFormat="1" applyFont="1" applyFill="1" applyBorder="1" applyAlignment="1">
      <alignment horizontal="center" vertical="center" wrapText="1"/>
    </xf>
    <xf numFmtId="164" fontId="3" fillId="0" borderId="86" xfId="0" applyNumberFormat="1" applyFont="1" applyBorder="1" applyAlignment="1">
      <alignment horizontal="center" vertical="center" wrapText="1"/>
    </xf>
    <xf numFmtId="166" fontId="7" fillId="4" borderId="74" xfId="0" applyNumberFormat="1" applyFont="1" applyFill="1" applyBorder="1" applyAlignment="1">
      <alignment horizontal="center" vertical="center" wrapText="1"/>
    </xf>
    <xf numFmtId="166" fontId="3" fillId="7" borderId="88" xfId="0" applyNumberFormat="1" applyFont="1" applyFill="1" applyBorder="1" applyAlignment="1">
      <alignment horizontal="center" vertical="center" wrapText="1"/>
    </xf>
    <xf numFmtId="9" fontId="6" fillId="7" borderId="87" xfId="0" applyNumberFormat="1" applyFont="1" applyFill="1" applyBorder="1" applyAlignment="1">
      <alignment horizontal="center" vertical="center" wrapText="1"/>
    </xf>
    <xf numFmtId="166" fontId="3" fillId="7" borderId="90" xfId="0" applyNumberFormat="1" applyFont="1" applyFill="1" applyBorder="1" applyAlignment="1">
      <alignment horizontal="center" vertical="center" wrapText="1"/>
    </xf>
    <xf numFmtId="164" fontId="3" fillId="7" borderId="93" xfId="0" applyNumberFormat="1" applyFont="1" applyFill="1" applyBorder="1" applyAlignment="1">
      <alignment horizontal="center" vertical="center" wrapText="1"/>
    </xf>
    <xf numFmtId="164" fontId="3" fillId="7" borderId="94" xfId="0" applyNumberFormat="1" applyFont="1" applyFill="1" applyBorder="1" applyAlignment="1">
      <alignment horizontal="center" vertical="center" wrapText="1"/>
    </xf>
    <xf numFmtId="164" fontId="3" fillId="7" borderId="95" xfId="0" applyNumberFormat="1" applyFont="1" applyFill="1" applyBorder="1" applyAlignment="1">
      <alignment horizontal="center" vertical="center" wrapText="1"/>
    </xf>
    <xf numFmtId="9" fontId="7" fillId="4" borderId="88" xfId="0" applyNumberFormat="1" applyFont="1" applyFill="1" applyBorder="1" applyAlignment="1">
      <alignment horizontal="center" vertical="center" wrapText="1"/>
    </xf>
    <xf numFmtId="9" fontId="16" fillId="7" borderId="87" xfId="0" applyNumberFormat="1" applyFont="1" applyFill="1" applyBorder="1" applyAlignment="1">
      <alignment horizontal="center" vertical="center" wrapText="1"/>
    </xf>
    <xf numFmtId="166" fontId="3" fillId="7" borderId="87" xfId="0" applyNumberFormat="1" applyFont="1" applyFill="1" applyBorder="1" applyAlignment="1">
      <alignment horizontal="center" vertical="center" wrapText="1"/>
    </xf>
    <xf numFmtId="164" fontId="5" fillId="0" borderId="77" xfId="0" applyNumberFormat="1" applyFont="1" applyBorder="1" applyAlignment="1">
      <alignment vertical="center"/>
    </xf>
    <xf numFmtId="164" fontId="5" fillId="0" borderId="88" xfId="0" applyNumberFormat="1" applyFont="1" applyBorder="1" applyAlignment="1">
      <alignment vertical="center"/>
    </xf>
    <xf numFmtId="166" fontId="6" fillId="25" borderId="18" xfId="0" applyNumberFormat="1" applyFont="1" applyFill="1" applyBorder="1" applyAlignment="1">
      <alignment horizontal="center" vertical="center" wrapText="1"/>
    </xf>
    <xf numFmtId="166" fontId="6" fillId="24" borderId="36" xfId="0" applyNumberFormat="1" applyFont="1" applyFill="1" applyBorder="1" applyAlignment="1">
      <alignment horizontal="center" vertical="center" wrapText="1"/>
    </xf>
    <xf numFmtId="164" fontId="3" fillId="0" borderId="99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4" fontId="3" fillId="0" borderId="100" xfId="0" applyNumberFormat="1" applyFont="1" applyBorder="1" applyAlignment="1">
      <alignment horizontal="center" vertical="center" wrapText="1"/>
    </xf>
    <xf numFmtId="164" fontId="3" fillId="0" borderId="101" xfId="0" applyNumberFormat="1" applyFont="1" applyBorder="1" applyAlignment="1">
      <alignment horizontal="center" vertical="center" wrapText="1"/>
    </xf>
    <xf numFmtId="0" fontId="0" fillId="0" borderId="67" xfId="0" applyBorder="1"/>
    <xf numFmtId="167" fontId="3" fillId="0" borderId="18" xfId="0" applyNumberFormat="1" applyFont="1" applyBorder="1" applyAlignment="1">
      <alignment horizontal="center" vertical="center" wrapText="1"/>
    </xf>
    <xf numFmtId="167" fontId="3" fillId="0" borderId="31" xfId="0" applyNumberFormat="1" applyFont="1" applyBorder="1" applyAlignment="1">
      <alignment horizontal="center" vertical="center" wrapText="1"/>
    </xf>
    <xf numFmtId="167" fontId="3" fillId="0" borderId="6" xfId="0" applyNumberFormat="1" applyFont="1" applyBorder="1" applyAlignment="1">
      <alignment horizontal="center" vertical="center" wrapText="1"/>
    </xf>
    <xf numFmtId="167" fontId="3" fillId="0" borderId="33" xfId="0" applyNumberFormat="1" applyFont="1" applyBorder="1" applyAlignment="1">
      <alignment horizontal="center" vertical="center" wrapText="1"/>
    </xf>
    <xf numFmtId="167" fontId="3" fillId="0" borderId="87" xfId="0" applyNumberFormat="1" applyFont="1" applyBorder="1" applyAlignment="1">
      <alignment horizontal="center" vertical="center" wrapText="1"/>
    </xf>
    <xf numFmtId="167" fontId="3" fillId="0" borderId="34" xfId="0" applyNumberFormat="1" applyFont="1" applyBorder="1" applyAlignment="1">
      <alignment horizontal="center" vertical="center" wrapText="1"/>
    </xf>
    <xf numFmtId="167" fontId="3" fillId="0" borderId="80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7" fontId="3" fillId="0" borderId="82" xfId="0" applyNumberFormat="1" applyFont="1" applyBorder="1" applyAlignment="1">
      <alignment horizontal="center" vertical="center" wrapText="1"/>
    </xf>
    <xf numFmtId="167" fontId="3" fillId="0" borderId="49" xfId="0" applyNumberFormat="1" applyFont="1" applyBorder="1" applyAlignment="1">
      <alignment horizontal="center" vertical="center" wrapText="1"/>
    </xf>
    <xf numFmtId="167" fontId="3" fillId="0" borderId="48" xfId="0" applyNumberFormat="1" applyFont="1" applyBorder="1" applyAlignment="1">
      <alignment horizontal="center" vertical="center" wrapText="1"/>
    </xf>
    <xf numFmtId="167" fontId="3" fillId="0" borderId="79" xfId="0" applyNumberFormat="1" applyFont="1" applyBorder="1" applyAlignment="1">
      <alignment horizontal="center" vertical="center" wrapText="1"/>
    </xf>
    <xf numFmtId="167" fontId="3" fillId="0" borderId="20" xfId="0" applyNumberFormat="1" applyFont="1" applyBorder="1" applyAlignment="1">
      <alignment horizontal="center" vertical="center" wrapText="1"/>
    </xf>
    <xf numFmtId="167" fontId="3" fillId="0" borderId="53" xfId="0" applyNumberFormat="1" applyFont="1" applyBorder="1" applyAlignment="1">
      <alignment horizontal="center" vertical="center" wrapText="1"/>
    </xf>
    <xf numFmtId="167" fontId="3" fillId="0" borderId="47" xfId="0" applyNumberFormat="1" applyFont="1" applyBorder="1" applyAlignment="1">
      <alignment horizontal="center" vertical="center" wrapText="1"/>
    </xf>
    <xf numFmtId="167" fontId="14" fillId="0" borderId="41" xfId="0" applyNumberFormat="1" applyFont="1" applyBorder="1" applyAlignment="1">
      <alignment horizontal="center" vertical="center" wrapText="1"/>
    </xf>
    <xf numFmtId="167" fontId="14" fillId="0" borderId="10" xfId="0" applyNumberFormat="1" applyFont="1" applyBorder="1" applyAlignment="1">
      <alignment horizontal="center" vertical="center" wrapText="1"/>
    </xf>
    <xf numFmtId="166" fontId="3" fillId="7" borderId="102" xfId="0" applyNumberFormat="1" applyFont="1" applyFill="1" applyBorder="1" applyAlignment="1">
      <alignment horizontal="center" vertical="center" wrapText="1"/>
    </xf>
    <xf numFmtId="167" fontId="14" fillId="0" borderId="40" xfId="0" applyNumberFormat="1" applyFont="1" applyBorder="1" applyAlignment="1">
      <alignment horizontal="center" vertical="center" wrapText="1"/>
    </xf>
    <xf numFmtId="167" fontId="14" fillId="0" borderId="58" xfId="0" applyNumberFormat="1" applyFont="1" applyBorder="1" applyAlignment="1">
      <alignment horizontal="center" vertical="center" wrapText="1"/>
    </xf>
    <xf numFmtId="167" fontId="14" fillId="0" borderId="105" xfId="0" applyNumberFormat="1" applyFont="1" applyBorder="1" applyAlignment="1">
      <alignment horizontal="center" vertical="center" wrapText="1"/>
    </xf>
    <xf numFmtId="166" fontId="3" fillId="7" borderId="106" xfId="0" applyNumberFormat="1" applyFont="1" applyFill="1" applyBorder="1" applyAlignment="1">
      <alignment horizontal="center" vertical="center" wrapText="1"/>
    </xf>
    <xf numFmtId="167" fontId="3" fillId="0" borderId="58" xfId="0" applyNumberFormat="1" applyFont="1" applyBorder="1" applyAlignment="1">
      <alignment horizontal="center" vertical="center" wrapText="1"/>
    </xf>
    <xf numFmtId="167" fontId="3" fillId="0" borderId="107" xfId="0" applyNumberFormat="1" applyFont="1" applyBorder="1" applyAlignment="1">
      <alignment horizontal="center" vertical="center" wrapText="1"/>
    </xf>
    <xf numFmtId="166" fontId="3" fillId="7" borderId="22" xfId="0" applyNumberFormat="1" applyFont="1" applyFill="1" applyBorder="1" applyAlignment="1">
      <alignment horizontal="center" vertical="center" wrapText="1"/>
    </xf>
    <xf numFmtId="166" fontId="15" fillId="7" borderId="106" xfId="0" applyNumberFormat="1" applyFont="1" applyFill="1" applyBorder="1" applyAlignment="1">
      <alignment horizontal="center" vertical="center" wrapText="1"/>
    </xf>
    <xf numFmtId="166" fontId="15" fillId="7" borderId="2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23" fillId="0" borderId="0" xfId="0" applyFont="1"/>
    <xf numFmtId="166" fontId="3" fillId="0" borderId="6" xfId="0" applyNumberFormat="1" applyFont="1" applyBorder="1" applyAlignment="1">
      <alignment horizontal="center" vertical="center" wrapText="1"/>
    </xf>
    <xf numFmtId="166" fontId="3" fillId="0" borderId="32" xfId="0" applyNumberFormat="1" applyFont="1" applyBorder="1" applyAlignment="1">
      <alignment horizontal="center" vertical="center" wrapText="1"/>
    </xf>
    <xf numFmtId="166" fontId="3" fillId="0" borderId="31" xfId="0" applyNumberFormat="1" applyFont="1" applyBorder="1" applyAlignment="1">
      <alignment horizontal="center" vertical="center" wrapText="1"/>
    </xf>
    <xf numFmtId="166" fontId="3" fillId="0" borderId="72" xfId="0" applyNumberFormat="1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166" fontId="3" fillId="0" borderId="33" xfId="0" applyNumberFormat="1" applyFont="1" applyBorder="1" applyAlignment="1">
      <alignment horizontal="center" vertical="center" wrapText="1"/>
    </xf>
    <xf numFmtId="166" fontId="3" fillId="0" borderId="87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166" fontId="0" fillId="0" borderId="0" xfId="0" applyNumberFormat="1"/>
    <xf numFmtId="166" fontId="3" fillId="0" borderId="34" xfId="0" applyNumberFormat="1" applyFont="1" applyBorder="1" applyAlignment="1">
      <alignment horizontal="center" vertical="center" wrapText="1"/>
    </xf>
    <xf numFmtId="166" fontId="3" fillId="0" borderId="80" xfId="0" applyNumberFormat="1" applyFont="1" applyBorder="1" applyAlignment="1">
      <alignment horizontal="center" vertical="center" wrapText="1"/>
    </xf>
    <xf numFmtId="166" fontId="3" fillId="0" borderId="81" xfId="0" applyNumberFormat="1" applyFont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 vertical="center" wrapText="1"/>
    </xf>
    <xf numFmtId="166" fontId="3" fillId="0" borderId="36" xfId="0" applyNumberFormat="1" applyFont="1" applyBorder="1" applyAlignment="1">
      <alignment horizontal="center" vertical="center" wrapText="1"/>
    </xf>
    <xf numFmtId="166" fontId="3" fillId="0" borderId="37" xfId="0" applyNumberFormat="1" applyFont="1" applyBorder="1" applyAlignment="1">
      <alignment horizontal="center" vertical="center" wrapText="1"/>
    </xf>
    <xf numFmtId="166" fontId="3" fillId="0" borderId="38" xfId="0" applyNumberFormat="1" applyFont="1" applyBorder="1" applyAlignment="1">
      <alignment horizontal="center" vertical="center" wrapText="1"/>
    </xf>
    <xf numFmtId="166" fontId="3" fillId="0" borderId="39" xfId="0" applyNumberFormat="1" applyFont="1" applyBorder="1" applyAlignment="1">
      <alignment horizontal="center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166" fontId="3" fillId="0" borderId="41" xfId="0" applyNumberFormat="1" applyFont="1" applyBorder="1" applyAlignment="1">
      <alignment horizontal="center" vertical="center" wrapText="1"/>
    </xf>
    <xf numFmtId="166" fontId="3" fillId="0" borderId="8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18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164" fontId="1" fillId="2" borderId="61" xfId="0" applyNumberFormat="1" applyFont="1" applyFill="1" applyBorder="1" applyAlignment="1">
      <alignment horizontal="center" vertical="center" wrapText="1"/>
    </xf>
    <xf numFmtId="0" fontId="2" fillId="0" borderId="62" xfId="0" applyFont="1" applyBorder="1"/>
    <xf numFmtId="0" fontId="2" fillId="0" borderId="63" xfId="0" applyFont="1" applyBorder="1"/>
    <xf numFmtId="164" fontId="5" fillId="0" borderId="64" xfId="0" applyNumberFormat="1" applyFont="1" applyBorder="1" applyAlignment="1">
      <alignment horizontal="center" vertical="center"/>
    </xf>
    <xf numFmtId="0" fontId="2" fillId="0" borderId="66" xfId="0" applyFont="1" applyBorder="1"/>
    <xf numFmtId="0" fontId="2" fillId="0" borderId="68" xfId="0" applyFont="1" applyBorder="1"/>
    <xf numFmtId="164" fontId="7" fillId="4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65" xfId="0" applyFont="1" applyBorder="1"/>
    <xf numFmtId="164" fontId="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165" fontId="17" fillId="5" borderId="7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164" fontId="7" fillId="4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8" xfId="0" applyFont="1" applyBorder="1"/>
    <xf numFmtId="164" fontId="7" fillId="4" borderId="0" xfId="0" applyNumberFormat="1" applyFont="1" applyFill="1" applyAlignment="1">
      <alignment horizontal="center" vertical="center" wrapText="1"/>
    </xf>
    <xf numFmtId="0" fontId="2" fillId="0" borderId="10" xfId="0" applyFont="1" applyBorder="1"/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0" xfId="0" applyFont="1"/>
    <xf numFmtId="165" fontId="19" fillId="5" borderId="108" xfId="0" applyNumberFormat="1" applyFont="1" applyFill="1" applyBorder="1" applyAlignment="1">
      <alignment horizontal="left" vertical="top" wrapText="1"/>
    </xf>
    <xf numFmtId="165" fontId="19" fillId="5" borderId="109" xfId="0" applyNumberFormat="1" applyFont="1" applyFill="1" applyBorder="1" applyAlignment="1">
      <alignment horizontal="left" vertical="top" wrapText="1"/>
    </xf>
    <xf numFmtId="165" fontId="19" fillId="5" borderId="110" xfId="0" applyNumberFormat="1" applyFont="1" applyFill="1" applyBorder="1" applyAlignment="1">
      <alignment horizontal="left" vertical="top" wrapText="1"/>
    </xf>
    <xf numFmtId="165" fontId="19" fillId="5" borderId="111" xfId="0" applyNumberFormat="1" applyFont="1" applyFill="1" applyBorder="1" applyAlignment="1">
      <alignment horizontal="left" vertical="top" wrapText="1"/>
    </xf>
    <xf numFmtId="165" fontId="19" fillId="5" borderId="112" xfId="0" applyNumberFormat="1" applyFont="1" applyFill="1" applyBorder="1" applyAlignment="1">
      <alignment horizontal="left" vertical="top" wrapText="1"/>
    </xf>
    <xf numFmtId="165" fontId="19" fillId="5" borderId="113" xfId="0" applyNumberFormat="1" applyFont="1" applyFill="1" applyBorder="1" applyAlignment="1">
      <alignment horizontal="left" vertical="top" wrapText="1"/>
    </xf>
    <xf numFmtId="164" fontId="6" fillId="11" borderId="70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7" xfId="0" applyFont="1" applyBorder="1"/>
    <xf numFmtId="0" fontId="2" fillId="0" borderId="88" xfId="0" applyFont="1" applyBorder="1"/>
    <xf numFmtId="164" fontId="6" fillId="12" borderId="77" xfId="0" applyNumberFormat="1" applyFont="1" applyFill="1" applyBorder="1" applyAlignment="1">
      <alignment horizontal="center" vertical="center" wrapText="1"/>
    </xf>
    <xf numFmtId="164" fontId="6" fillId="12" borderId="0" xfId="0" applyNumberFormat="1" applyFont="1" applyFill="1" applyAlignment="1">
      <alignment horizontal="center" vertical="center" wrapText="1"/>
    </xf>
    <xf numFmtId="0" fontId="0" fillId="0" borderId="0" xfId="0"/>
    <xf numFmtId="0" fontId="2" fillId="0" borderId="67" xfId="0" applyFont="1" applyBorder="1"/>
    <xf numFmtId="164" fontId="6" fillId="13" borderId="83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9" fillId="7" borderId="70" xfId="0" applyNumberFormat="1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164" fontId="10" fillId="5" borderId="73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164" fontId="11" fillId="8" borderId="21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164" fontId="6" fillId="9" borderId="73" xfId="0" applyNumberFormat="1" applyFont="1" applyFill="1" applyBorder="1" applyAlignment="1">
      <alignment horizontal="center" vertical="center" wrapText="1"/>
    </xf>
    <xf numFmtId="164" fontId="7" fillId="10" borderId="21" xfId="0" applyNumberFormat="1" applyFont="1" applyFill="1" applyBorder="1" applyAlignment="1">
      <alignment horizontal="center" vertical="center" wrapText="1"/>
    </xf>
    <xf numFmtId="164" fontId="3" fillId="0" borderId="75" xfId="0" applyNumberFormat="1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164" fontId="3" fillId="0" borderId="89" xfId="0" applyNumberFormat="1" applyFont="1" applyBorder="1" applyAlignment="1">
      <alignment horizontal="center" vertical="center" wrapText="1"/>
    </xf>
    <xf numFmtId="0" fontId="2" fillId="0" borderId="47" xfId="0" applyFont="1" applyBorder="1"/>
    <xf numFmtId="0" fontId="2" fillId="0" borderId="6" xfId="0" applyFont="1" applyBorder="1"/>
    <xf numFmtId="164" fontId="6" fillId="12" borderId="70" xfId="0" applyNumberFormat="1" applyFont="1" applyFill="1" applyBorder="1" applyAlignment="1">
      <alignment horizontal="center" vertical="center" wrapText="1"/>
    </xf>
    <xf numFmtId="0" fontId="2" fillId="0" borderId="13" xfId="0" applyFont="1" applyBorder="1"/>
    <xf numFmtId="164" fontId="8" fillId="0" borderId="103" xfId="0" applyNumberFormat="1" applyFont="1" applyBorder="1" applyAlignment="1">
      <alignment horizontal="center" vertical="center" wrapText="1"/>
    </xf>
    <xf numFmtId="0" fontId="2" fillId="0" borderId="104" xfId="0" applyFont="1" applyBorder="1"/>
    <xf numFmtId="0" fontId="2" fillId="0" borderId="38" xfId="0" applyFont="1" applyBorder="1"/>
    <xf numFmtId="164" fontId="6" fillId="7" borderId="106" xfId="0" applyNumberFormat="1" applyFont="1" applyFill="1" applyBorder="1" applyAlignment="1">
      <alignment horizontal="center" vertical="center" wrapText="1"/>
    </xf>
    <xf numFmtId="0" fontId="2" fillId="0" borderId="106" xfId="0" applyFont="1" applyBorder="1"/>
    <xf numFmtId="0" fontId="2" fillId="0" borderId="76" xfId="0" applyFont="1" applyBorder="1"/>
    <xf numFmtId="164" fontId="6" fillId="15" borderId="83" xfId="0" applyNumberFormat="1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51" xfId="0" applyFont="1" applyBorder="1"/>
    <xf numFmtId="0" fontId="2" fillId="0" borderId="77" xfId="0" applyFont="1" applyBorder="1"/>
    <xf numFmtId="164" fontId="6" fillId="6" borderId="70" xfId="0" applyNumberFormat="1" applyFont="1" applyFill="1" applyBorder="1" applyAlignment="1">
      <alignment horizontal="center" vertical="center" wrapText="1"/>
    </xf>
    <xf numFmtId="164" fontId="6" fillId="6" borderId="83" xfId="0" applyNumberFormat="1" applyFont="1" applyFill="1" applyBorder="1" applyAlignment="1">
      <alignment horizontal="center" vertical="center" wrapText="1"/>
    </xf>
    <xf numFmtId="164" fontId="6" fillId="12" borderId="47" xfId="0" applyNumberFormat="1" applyFont="1" applyFill="1" applyBorder="1" applyAlignment="1">
      <alignment horizontal="center" vertical="center" wrapText="1"/>
    </xf>
    <xf numFmtId="0" fontId="2" fillId="0" borderId="87" xfId="0" applyFont="1" applyBorder="1"/>
    <xf numFmtId="164" fontId="9" fillId="0" borderId="89" xfId="0" applyNumberFormat="1" applyFont="1" applyBorder="1" applyAlignment="1">
      <alignment horizontal="center" vertical="center" wrapText="1"/>
    </xf>
    <xf numFmtId="164" fontId="6" fillId="14" borderId="70" xfId="0" applyNumberFormat="1" applyFont="1" applyFill="1" applyBorder="1" applyAlignment="1">
      <alignment horizontal="center" vertical="center" wrapText="1"/>
    </xf>
    <xf numFmtId="164" fontId="10" fillId="7" borderId="73" xfId="0" applyNumberFormat="1" applyFont="1" applyFill="1" applyBorder="1" applyAlignment="1">
      <alignment horizontal="center" vertical="center" wrapText="1"/>
    </xf>
    <xf numFmtId="9" fontId="6" fillId="20" borderId="10" xfId="0" applyNumberFormat="1" applyFont="1" applyFill="1" applyBorder="1" applyAlignment="1">
      <alignment horizontal="center" vertical="center" wrapText="1"/>
    </xf>
    <xf numFmtId="164" fontId="3" fillId="0" borderId="103" xfId="0" applyNumberFormat="1" applyFont="1" applyBorder="1" applyAlignment="1">
      <alignment horizontal="center" vertical="center" wrapText="1"/>
    </xf>
    <xf numFmtId="164" fontId="6" fillId="7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/>
    <xf numFmtId="164" fontId="6" fillId="16" borderId="70" xfId="0" applyNumberFormat="1" applyFont="1" applyFill="1" applyBorder="1" applyAlignment="1">
      <alignment horizontal="center" vertical="center" wrapText="1"/>
    </xf>
    <xf numFmtId="164" fontId="6" fillId="16" borderId="83" xfId="0" applyNumberFormat="1" applyFont="1" applyFill="1" applyBorder="1" applyAlignment="1">
      <alignment horizontal="center" vertical="center" wrapText="1"/>
    </xf>
    <xf numFmtId="164" fontId="21" fillId="9" borderId="70" xfId="0" applyNumberFormat="1" applyFont="1" applyFill="1" applyBorder="1" applyAlignment="1">
      <alignment horizontal="center" vertical="center" wrapText="1"/>
    </xf>
    <xf numFmtId="0" fontId="22" fillId="0" borderId="14" xfId="0" applyFont="1" applyBorder="1"/>
    <xf numFmtId="0" fontId="22" fillId="0" borderId="76" xfId="0" applyFont="1" applyBorder="1"/>
    <xf numFmtId="164" fontId="21" fillId="9" borderId="83" xfId="0" applyNumberFormat="1" applyFont="1" applyFill="1" applyBorder="1" applyAlignment="1">
      <alignment horizontal="center" vertical="center" wrapText="1"/>
    </xf>
    <xf numFmtId="0" fontId="22" fillId="0" borderId="42" xfId="0" applyFont="1" applyBorder="1"/>
    <xf numFmtId="0" fontId="22" fillId="0" borderId="51" xfId="0" applyFont="1" applyBorder="1"/>
    <xf numFmtId="0" fontId="22" fillId="0" borderId="77" xfId="0" applyFont="1" applyBorder="1"/>
    <xf numFmtId="0" fontId="22" fillId="0" borderId="7" xfId="0" applyFont="1" applyBorder="1"/>
    <xf numFmtId="0" fontId="22" fillId="0" borderId="8" xfId="0" applyFont="1" applyBorder="1"/>
    <xf numFmtId="164" fontId="6" fillId="17" borderId="70" xfId="0" applyNumberFormat="1" applyFont="1" applyFill="1" applyBorder="1" applyAlignment="1">
      <alignment horizontal="center" vertical="center" wrapText="1"/>
    </xf>
    <xf numFmtId="164" fontId="6" fillId="17" borderId="83" xfId="0" applyNumberFormat="1" applyFont="1" applyFill="1" applyBorder="1" applyAlignment="1">
      <alignment horizontal="center" vertical="center" wrapText="1"/>
    </xf>
    <xf numFmtId="0" fontId="2" fillId="0" borderId="69" xfId="0" applyFont="1" applyBorder="1"/>
    <xf numFmtId="164" fontId="6" fillId="18" borderId="83" xfId="0" applyNumberFormat="1" applyFont="1" applyFill="1" applyBorder="1" applyAlignment="1">
      <alignment horizontal="center" vertical="center" wrapText="1"/>
    </xf>
    <xf numFmtId="0" fontId="2" fillId="0" borderId="91" xfId="0" applyFont="1" applyBorder="1"/>
    <xf numFmtId="164" fontId="6" fillId="18" borderId="92" xfId="0" applyNumberFormat="1" applyFont="1" applyFill="1" applyBorder="1" applyAlignment="1">
      <alignment horizontal="center" vertical="center" wrapText="1"/>
    </xf>
    <xf numFmtId="164" fontId="7" fillId="23" borderId="59" xfId="0" applyNumberFormat="1" applyFont="1" applyFill="1" applyBorder="1" applyAlignment="1">
      <alignment horizontal="left" vertical="center" wrapText="1"/>
    </xf>
    <xf numFmtId="164" fontId="7" fillId="23" borderId="42" xfId="0" applyNumberFormat="1" applyFont="1" applyFill="1" applyBorder="1" applyAlignment="1">
      <alignment horizontal="left" vertical="center" wrapText="1"/>
    </xf>
    <xf numFmtId="164" fontId="6" fillId="22" borderId="10" xfId="0" applyNumberFormat="1" applyFont="1" applyFill="1" applyBorder="1" applyAlignment="1">
      <alignment horizontal="center" vertical="center" wrapText="1"/>
    </xf>
    <xf numFmtId="9" fontId="6" fillId="22" borderId="10" xfId="0" applyNumberFormat="1" applyFont="1" applyFill="1" applyBorder="1" applyAlignment="1">
      <alignment horizontal="center" vertical="center" wrapText="1"/>
    </xf>
    <xf numFmtId="164" fontId="7" fillId="23" borderId="14" xfId="0" applyNumberFormat="1" applyFont="1" applyFill="1" applyBorder="1" applyAlignment="1">
      <alignment vertical="center" wrapText="1"/>
    </xf>
    <xf numFmtId="164" fontId="20" fillId="0" borderId="60" xfId="0" applyNumberFormat="1" applyFont="1" applyBorder="1" applyAlignment="1">
      <alignment horizontal="left" vertical="top" wrapText="1"/>
    </xf>
    <xf numFmtId="164" fontId="20" fillId="0" borderId="0" xfId="0" applyNumberFormat="1" applyFont="1" applyAlignment="1">
      <alignment horizontal="left" vertical="top" wrapText="1"/>
    </xf>
    <xf numFmtId="164" fontId="20" fillId="0" borderId="10" xfId="0" applyNumberFormat="1" applyFont="1" applyBorder="1" applyAlignment="1">
      <alignment horizontal="left" vertical="top" wrapText="1"/>
    </xf>
    <xf numFmtId="164" fontId="6" fillId="20" borderId="58" xfId="0" applyNumberFormat="1" applyFont="1" applyFill="1" applyBorder="1" applyAlignment="1">
      <alignment horizontal="center" vertical="center" wrapText="1"/>
    </xf>
    <xf numFmtId="0" fontId="2" fillId="0" borderId="49" xfId="0" applyFont="1" applyBorder="1"/>
    <xf numFmtId="164" fontId="6" fillId="21" borderId="96" xfId="0" applyNumberFormat="1" applyFont="1" applyFill="1" applyBorder="1" applyAlignment="1">
      <alignment horizontal="center" vertical="center" wrapText="1"/>
    </xf>
    <xf numFmtId="0" fontId="2" fillId="0" borderId="97" xfId="0" applyFont="1" applyBorder="1"/>
    <xf numFmtId="0" fontId="2" fillId="0" borderId="98" xfId="0" applyFont="1" applyBorder="1"/>
    <xf numFmtId="164" fontId="6" fillId="21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11" xfId="0" applyFont="1" applyBorder="1"/>
    <xf numFmtId="10" fontId="6" fillId="22" borderId="10" xfId="0" applyNumberFormat="1" applyFont="1" applyFill="1" applyBorder="1" applyAlignment="1">
      <alignment horizontal="center" vertical="center" wrapText="1"/>
    </xf>
    <xf numFmtId="164" fontId="6" fillId="15" borderId="92" xfId="0" applyNumberFormat="1" applyFont="1" applyFill="1" applyBorder="1" applyAlignment="1">
      <alignment horizontal="center" vertical="center" wrapText="1"/>
    </xf>
    <xf numFmtId="10" fontId="6" fillId="20" borderId="5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22/10/relationships/richValueRel" Target="richData/richValueRel.xml"/><Relationship Id="rId10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E7CEA-5757-466D-9177-93FC82768CAA}">
  <sheetPr>
    <outlinePr summaryBelow="0" summaryRight="0"/>
  </sheetPr>
  <dimension ref="A1:Z993"/>
  <sheetViews>
    <sheetView showGridLines="0" topLeftCell="D40" zoomScaleNormal="100" workbookViewId="0">
      <selection activeCell="D21" sqref="D21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thickTop="1" thickBot="1" x14ac:dyDescent="0.25">
      <c r="A3" s="170"/>
      <c r="B3" s="7" t="s">
        <v>5</v>
      </c>
      <c r="C3" s="138" t="s">
        <v>91</v>
      </c>
      <c r="D3" s="177" t="s">
        <v>95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345*0.8</f>
        <v>276</v>
      </c>
      <c r="E21" s="141"/>
      <c r="F21" s="142">
        <f>220*0.8</f>
        <v>176</v>
      </c>
      <c r="G21" s="141"/>
      <c r="H21" s="142">
        <f>190*0.8</f>
        <v>152</v>
      </c>
      <c r="I21" s="140"/>
      <c r="J21" s="142"/>
      <c r="K21" s="145"/>
      <c r="L21" s="142">
        <f>105*0.8</f>
        <v>84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B25" s="144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284.8</v>
      </c>
      <c r="E28" s="24">
        <f t="shared" si="0"/>
        <v>0</v>
      </c>
      <c r="F28" s="23">
        <f t="shared" si="0"/>
        <v>184.8</v>
      </c>
      <c r="G28" s="24">
        <f t="shared" si="0"/>
        <v>0</v>
      </c>
      <c r="H28" s="23">
        <f t="shared" si="0"/>
        <v>160.80000000000001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92.8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365.12820512820514</v>
      </c>
      <c r="E29" s="26">
        <f t="shared" si="1"/>
        <v>0</v>
      </c>
      <c r="F29" s="25">
        <f t="shared" si="1"/>
        <v>236.92307692307693</v>
      </c>
      <c r="G29" s="26">
        <f t="shared" si="1"/>
        <v>0</v>
      </c>
      <c r="H29" s="25">
        <f t="shared" si="1"/>
        <v>206.15384615384616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118.97435897435896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284.8</v>
      </c>
      <c r="E42" s="128">
        <f t="shared" ref="E42:O42" si="6">SUM($D$16,E28,E38)</f>
        <v>0</v>
      </c>
      <c r="F42" s="32">
        <f t="shared" si="6"/>
        <v>184.8</v>
      </c>
      <c r="G42" s="32">
        <f t="shared" si="6"/>
        <v>0</v>
      </c>
      <c r="H42" s="32">
        <f t="shared" si="6"/>
        <v>160.80000000000001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92.8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369</v>
      </c>
      <c r="E59" s="136" t="s">
        <v>81</v>
      </c>
      <c r="F59" s="136">
        <f t="shared" ref="F59:L59" si="12">(MROUND(SUM($D$15,F29,F38,F51)+5,10)-1)</f>
        <v>239</v>
      </c>
      <c r="G59" s="136" t="s">
        <v>81</v>
      </c>
      <c r="H59" s="136">
        <f t="shared" si="12"/>
        <v>209</v>
      </c>
      <c r="I59" s="136" t="s">
        <v>81</v>
      </c>
      <c r="J59" s="136" t="s">
        <v>81</v>
      </c>
      <c r="K59" s="137" t="s">
        <v>81</v>
      </c>
      <c r="L59" s="136">
        <f t="shared" si="12"/>
        <v>119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0.23060393258426962</v>
      </c>
      <c r="E63" s="36" t="e">
        <f t="shared" si="14"/>
        <v>#VALUE!</v>
      </c>
      <c r="F63" s="36">
        <f t="shared" si="14"/>
        <v>0.2287662337662337</v>
      </c>
      <c r="G63" s="36" t="e">
        <f t="shared" si="14"/>
        <v>#VALUE!</v>
      </c>
      <c r="H63" s="36">
        <f t="shared" si="14"/>
        <v>0.23380597014925367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0.22021551724137936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84.199999999999989</v>
      </c>
      <c r="E64" s="34" t="e">
        <f>E59-E42</f>
        <v>#VALUE!</v>
      </c>
      <c r="F64" s="34">
        <f t="shared" si="15"/>
        <v>54.199999999999989</v>
      </c>
      <c r="G64" s="34" t="e">
        <f t="shared" si="15"/>
        <v>#VALUE!</v>
      </c>
      <c r="H64" s="34">
        <f t="shared" si="15"/>
        <v>48.199999999999989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26.200000000000003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36.512820512820518</v>
      </c>
      <c r="E68" s="42">
        <f t="shared" ref="E68:O68" si="17">E29*$C$68</f>
        <v>0</v>
      </c>
      <c r="F68" s="41">
        <f t="shared" si="17"/>
        <v>23.692307692307693</v>
      </c>
      <c r="G68" s="42">
        <f t="shared" si="17"/>
        <v>0</v>
      </c>
      <c r="H68" s="41">
        <f t="shared" si="17"/>
        <v>20.615384615384617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11.897435897435898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43.815384615384616</v>
      </c>
      <c r="E69" s="46">
        <f>E29*$C$69</f>
        <v>0</v>
      </c>
      <c r="F69" s="41">
        <f>$F$29*$C$69</f>
        <v>28.430769230769233</v>
      </c>
      <c r="G69" s="46">
        <f>G29*$C$69</f>
        <v>0</v>
      </c>
      <c r="H69" s="41">
        <f>$H$29*$C$69</f>
        <v>24.738461538461539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14.276923076923076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54.769230769230766</v>
      </c>
      <c r="E70" s="46">
        <f>E29*$C$70</f>
        <v>0</v>
      </c>
      <c r="F70" s="41">
        <f>$F$29*$C$70</f>
        <v>35.53846153846154</v>
      </c>
      <c r="G70" s="46">
        <f>G29*$C$70</f>
        <v>0</v>
      </c>
      <c r="H70" s="41">
        <f>$H$29*$C$70</f>
        <v>30.923076923076923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17.846153846153843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62.071794871794879</v>
      </c>
      <c r="E71" s="49">
        <f>E29*$C$71</f>
        <v>0</v>
      </c>
      <c r="F71" s="32">
        <f>$F$29*$C$71</f>
        <v>40.276923076923083</v>
      </c>
      <c r="G71" s="49">
        <f>G29*$C$71</f>
        <v>0</v>
      </c>
      <c r="H71" s="32">
        <f>$H$29*$C$71</f>
        <v>35.04615384615385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20.225641025641025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0.12923354874574383</v>
      </c>
      <c r="E75" s="53" t="e">
        <f t="shared" si="20"/>
        <v>#VALUE!</v>
      </c>
      <c r="F75" s="53">
        <f t="shared" si="20"/>
        <v>0.12764724814934014</v>
      </c>
      <c r="G75" s="53" t="e">
        <f t="shared" si="20"/>
        <v>#VALUE!</v>
      </c>
      <c r="H75" s="53">
        <f t="shared" si="20"/>
        <v>0.13198380566801612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0.12018961430726138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47.687179487179471</v>
      </c>
      <c r="E76" s="54" t="e">
        <f t="shared" si="21"/>
        <v>#VALUE!</v>
      </c>
      <c r="F76" s="54">
        <f t="shared" si="21"/>
        <v>30.507692307692295</v>
      </c>
      <c r="G76" s="54" t="e">
        <f t="shared" si="21"/>
        <v>#VALUE!</v>
      </c>
      <c r="H76" s="54">
        <f t="shared" si="21"/>
        <v>27.584615384615372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14.302564102564105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0.10944340212632893</v>
      </c>
      <c r="E77" s="53" t="e">
        <f>E78/E59</f>
        <v>#VALUE!</v>
      </c>
      <c r="F77" s="53">
        <f t="shared" si="22"/>
        <v>0.10782104924364333</v>
      </c>
      <c r="G77" s="53" t="e">
        <f>G78/G59</f>
        <v>#VALUE!</v>
      </c>
      <c r="H77" s="53">
        <f t="shared" si="22"/>
        <v>0.11225616488774377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0.10019392372333552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40.384615384615373</v>
      </c>
      <c r="E78" s="54" t="e">
        <f>E64-E69</f>
        <v>#VALUE!</v>
      </c>
      <c r="F78" s="54">
        <f t="shared" si="23"/>
        <v>25.769230769230756</v>
      </c>
      <c r="G78" s="54" t="e">
        <f>G64-G69</f>
        <v>#VALUE!</v>
      </c>
      <c r="H78" s="54">
        <f t="shared" si="23"/>
        <v>23.461538461538449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11.923076923076927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7.9758182197206567E-2</v>
      </c>
      <c r="E79" s="53" t="e">
        <f t="shared" si="24"/>
        <v>#VALUE!</v>
      </c>
      <c r="F79" s="53">
        <f t="shared" si="24"/>
        <v>7.8081750885098111E-2</v>
      </c>
      <c r="G79" s="53" t="e">
        <f t="shared" si="24"/>
        <v>#VALUE!</v>
      </c>
      <c r="H79" s="53">
        <f t="shared" si="24"/>
        <v>8.2664703717335239E-2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7.0200387847446727E-2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29.430769230769222</v>
      </c>
      <c r="E80" s="54" t="e">
        <f t="shared" si="25"/>
        <v>#VALUE!</v>
      </c>
      <c r="F80" s="54">
        <f t="shared" si="25"/>
        <v>18.661538461538449</v>
      </c>
      <c r="G80" s="54" t="e">
        <f t="shared" si="25"/>
        <v>#VALUE!</v>
      </c>
      <c r="H80" s="54">
        <f t="shared" si="25"/>
        <v>17.276923076923065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8.3538461538461597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5.9968035577791623E-2</v>
      </c>
      <c r="E81" s="53" t="e">
        <f t="shared" si="26"/>
        <v>#VALUE!</v>
      </c>
      <c r="F81" s="53">
        <f t="shared" si="26"/>
        <v>5.8255551979401278E-2</v>
      </c>
      <c r="G81" s="53" t="e">
        <f t="shared" si="26"/>
        <v>#VALUE!</v>
      </c>
      <c r="H81" s="53">
        <f t="shared" si="26"/>
        <v>6.293706293706286E-2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5.0204697263520823E-2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22.12820512820511</v>
      </c>
      <c r="E82" s="35" t="e">
        <f t="shared" si="27"/>
        <v>#VALUE!</v>
      </c>
      <c r="F82" s="35">
        <f t="shared" si="27"/>
        <v>13.923076923076906</v>
      </c>
      <c r="G82" s="35" t="e">
        <f t="shared" si="27"/>
        <v>#VALUE!</v>
      </c>
      <c r="H82" s="35">
        <f t="shared" si="27"/>
        <v>13.153846153846139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5.974358974358978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0.10467917448405249</v>
      </c>
      <c r="E86" s="53" t="e">
        <f t="shared" si="30"/>
        <v>#VALUE!</v>
      </c>
      <c r="F86" s="57">
        <f t="shared" si="30"/>
        <v>0.10339427100096552</v>
      </c>
      <c r="G86" s="53" t="e">
        <f t="shared" si="30"/>
        <v>#VALUE!</v>
      </c>
      <c r="H86" s="57">
        <f t="shared" si="30"/>
        <v>0.10690688259109307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9.7353587588881726E-2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38.62661538461537</v>
      </c>
      <c r="E87" s="54" t="e">
        <f t="shared" si="31"/>
        <v>#VALUE!</v>
      </c>
      <c r="F87" s="58">
        <f t="shared" si="31"/>
        <v>24.71123076923076</v>
      </c>
      <c r="G87" s="54" t="e">
        <f t="shared" si="31"/>
        <v>#VALUE!</v>
      </c>
      <c r="H87" s="58">
        <f t="shared" si="31"/>
        <v>22.343538461538451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11.585076923076926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8.8649155722326428E-2</v>
      </c>
      <c r="E88" s="53" t="e">
        <f t="shared" si="32"/>
        <v>#VALUE!</v>
      </c>
      <c r="F88" s="57">
        <f t="shared" si="32"/>
        <v>8.7335049887351093E-2</v>
      </c>
      <c r="G88" s="53" t="e">
        <f t="shared" si="32"/>
        <v>#VALUE!</v>
      </c>
      <c r="H88" s="57">
        <f t="shared" si="32"/>
        <v>9.0927493559072453E-2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8.1157078215901776E-2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32.711538461538453</v>
      </c>
      <c r="E89" s="54" t="e">
        <f t="shared" si="33"/>
        <v>#VALUE!</v>
      </c>
      <c r="F89" s="58">
        <f t="shared" si="33"/>
        <v>20.873076923076912</v>
      </c>
      <c r="G89" s="54" t="e">
        <f t="shared" si="33"/>
        <v>#VALUE!</v>
      </c>
      <c r="H89" s="58">
        <f t="shared" si="33"/>
        <v>19.003846153846144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9.6576923076923116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6.4604127579737311E-2</v>
      </c>
      <c r="E90" s="53" t="e">
        <f t="shared" ref="E90:O90" si="34">E91/E59</f>
        <v>#VALUE!</v>
      </c>
      <c r="F90" s="57">
        <f t="shared" si="34"/>
        <v>6.3246218216929467E-2</v>
      </c>
      <c r="G90" s="53" t="e">
        <f t="shared" si="34"/>
        <v>#VALUE!</v>
      </c>
      <c r="H90" s="57">
        <f t="shared" si="34"/>
        <v>6.6958410011041539E-2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5.6862314156431844E-2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23.83892307692307</v>
      </c>
      <c r="E91" s="54" t="e">
        <f t="shared" si="35"/>
        <v>#VALUE!</v>
      </c>
      <c r="F91" s="58">
        <f t="shared" si="35"/>
        <v>15.115846153846142</v>
      </c>
      <c r="G91" s="54" t="e">
        <f t="shared" si="35"/>
        <v>#VALUE!</v>
      </c>
      <c r="H91" s="58">
        <f t="shared" si="35"/>
        <v>13.994307692307682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6.7666153846153891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4.8574108818011219E-2</v>
      </c>
      <c r="E92" s="53" t="e">
        <f t="shared" si="36"/>
        <v>#VALUE!</v>
      </c>
      <c r="F92" s="57">
        <f t="shared" si="36"/>
        <v>4.7186997103315031E-2</v>
      </c>
      <c r="G92" s="53" t="e">
        <f t="shared" si="36"/>
        <v>#VALUE!</v>
      </c>
      <c r="H92" s="57">
        <f t="shared" si="36"/>
        <v>5.097902097902092E-2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4.0665804783451866E-2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17.923846153846139</v>
      </c>
      <c r="E93" s="35" t="e">
        <f t="shared" si="37"/>
        <v>#VALUE!</v>
      </c>
      <c r="F93" s="33">
        <f t="shared" si="37"/>
        <v>11.277692307692293</v>
      </c>
      <c r="G93" s="35" t="e">
        <f t="shared" si="37"/>
        <v>#VALUE!</v>
      </c>
      <c r="H93" s="33">
        <f t="shared" si="37"/>
        <v>10.654615384615372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4.8392307692307721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2.75" hidden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A106:B106"/>
    <mergeCell ref="B90:B91"/>
    <mergeCell ref="C90:C91"/>
    <mergeCell ref="B92:B93"/>
    <mergeCell ref="C92:C93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D7:E7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F7:G7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D6:E6"/>
    <mergeCell ref="F6:G6"/>
    <mergeCell ref="H5:I8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09CB4-F6DE-434E-BCDF-7FC8CA900D1C}">
  <sheetPr>
    <outlinePr summaryBelow="0" summaryRight="0"/>
  </sheetPr>
  <dimension ref="A1:Z993"/>
  <sheetViews>
    <sheetView showGridLines="0" topLeftCell="G48" zoomScaleNormal="100" workbookViewId="0">
      <selection activeCell="D59" sqref="D5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98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385*0.8</f>
        <v>308</v>
      </c>
      <c r="E21" s="141"/>
      <c r="F21" s="142">
        <f>240*0.8</f>
        <v>192</v>
      </c>
      <c r="G21" s="141"/>
      <c r="H21" s="142">
        <f>220*0.8</f>
        <v>176</v>
      </c>
      <c r="I21" s="140"/>
      <c r="J21" s="142"/>
      <c r="K21" s="145"/>
      <c r="L21" s="142">
        <f>175*0.8</f>
        <v>140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316.8</v>
      </c>
      <c r="E28" s="24">
        <f t="shared" si="0"/>
        <v>0</v>
      </c>
      <c r="F28" s="23">
        <f t="shared" si="0"/>
        <v>200.8</v>
      </c>
      <c r="G28" s="24">
        <f t="shared" si="0"/>
        <v>0</v>
      </c>
      <c r="H28" s="23">
        <f t="shared" si="0"/>
        <v>184.8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148.80000000000001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406.15384615384613</v>
      </c>
      <c r="E29" s="26">
        <f t="shared" si="1"/>
        <v>0</v>
      </c>
      <c r="F29" s="25">
        <f t="shared" si="1"/>
        <v>257.43589743589746</v>
      </c>
      <c r="G29" s="26">
        <f t="shared" si="1"/>
        <v>0</v>
      </c>
      <c r="H29" s="25">
        <f t="shared" si="1"/>
        <v>236.92307692307693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190.76923076923077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316.8</v>
      </c>
      <c r="E42" s="128">
        <f t="shared" ref="E42:O42" si="6">SUM($D$16,E28,E38)</f>
        <v>0</v>
      </c>
      <c r="F42" s="32">
        <f t="shared" si="6"/>
        <v>200.8</v>
      </c>
      <c r="G42" s="32">
        <f t="shared" si="6"/>
        <v>0</v>
      </c>
      <c r="H42" s="32">
        <f t="shared" si="6"/>
        <v>184.8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148.80000000000001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409</v>
      </c>
      <c r="E59" s="136" t="s">
        <v>81</v>
      </c>
      <c r="F59" s="136">
        <f t="shared" ref="F59:L59" si="12">(MROUND(SUM($D$15,F29,F38,F51)+5,10)-1)</f>
        <v>259</v>
      </c>
      <c r="G59" s="136" t="s">
        <v>81</v>
      </c>
      <c r="H59" s="136">
        <f t="shared" si="12"/>
        <v>239</v>
      </c>
      <c r="I59" s="136" t="s">
        <v>81</v>
      </c>
      <c r="J59" s="136" t="s">
        <v>81</v>
      </c>
      <c r="K59" s="137" t="s">
        <v>81</v>
      </c>
      <c r="L59" s="136">
        <f t="shared" si="12"/>
        <v>199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0.22700757575757574</v>
      </c>
      <c r="E63" s="36" t="e">
        <f t="shared" si="14"/>
        <v>#VALUE!</v>
      </c>
      <c r="F63" s="36">
        <f t="shared" si="14"/>
        <v>0.22607569721115531</v>
      </c>
      <c r="G63" s="36" t="e">
        <f t="shared" si="14"/>
        <v>#VALUE!</v>
      </c>
      <c r="H63" s="36">
        <f t="shared" si="14"/>
        <v>0.2287662337662337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0.2631451612903225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92.199999999999989</v>
      </c>
      <c r="E64" s="34" t="e">
        <f>E59-E42</f>
        <v>#VALUE!</v>
      </c>
      <c r="F64" s="34">
        <f t="shared" si="15"/>
        <v>58.199999999999989</v>
      </c>
      <c r="G64" s="34" t="e">
        <f t="shared" si="15"/>
        <v>#VALUE!</v>
      </c>
      <c r="H64" s="34">
        <f t="shared" si="15"/>
        <v>54.199999999999989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50.199999999999989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40.615384615384613</v>
      </c>
      <c r="E68" s="42">
        <f t="shared" ref="E68:O68" si="17">E29*$C$68</f>
        <v>0</v>
      </c>
      <c r="F68" s="41">
        <f t="shared" si="17"/>
        <v>25.743589743589748</v>
      </c>
      <c r="G68" s="42">
        <f t="shared" si="17"/>
        <v>0</v>
      </c>
      <c r="H68" s="41">
        <f t="shared" si="17"/>
        <v>23.692307692307693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19.076923076923077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48.738461538461536</v>
      </c>
      <c r="E69" s="46">
        <f>E29*$C$69</f>
        <v>0</v>
      </c>
      <c r="F69" s="41">
        <f>$F$29*$C$69</f>
        <v>30.892307692307693</v>
      </c>
      <c r="G69" s="46">
        <f>G29*$C$69</f>
        <v>0</v>
      </c>
      <c r="H69" s="41">
        <f>$H$29*$C$69</f>
        <v>28.430769230769233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22.892307692307693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60.92307692307692</v>
      </c>
      <c r="E70" s="46">
        <f>E29*$C$70</f>
        <v>0</v>
      </c>
      <c r="F70" s="41">
        <f>$F$29*$C$70</f>
        <v>38.61538461538462</v>
      </c>
      <c r="G70" s="46">
        <f>G29*$C$70</f>
        <v>0</v>
      </c>
      <c r="H70" s="41">
        <f>$H$29*$C$70</f>
        <v>35.53846153846154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28.615384615384617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69.046153846153842</v>
      </c>
      <c r="E71" s="49">
        <f>E29*$C$71</f>
        <v>0</v>
      </c>
      <c r="F71" s="32">
        <f>$F$29*$C$71</f>
        <v>43.764102564102572</v>
      </c>
      <c r="G71" s="49">
        <f>G29*$C$71</f>
        <v>0</v>
      </c>
      <c r="H71" s="32">
        <f>$H$29*$C$71</f>
        <v>40.276923076923083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32.430769230769236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0.1261237539966146</v>
      </c>
      <c r="E75" s="53" t="e">
        <f t="shared" si="20"/>
        <v>#VALUE!</v>
      </c>
      <c r="F75" s="53">
        <f t="shared" si="20"/>
        <v>0.12531432531432524</v>
      </c>
      <c r="G75" s="53" t="e">
        <f t="shared" si="20"/>
        <v>#VALUE!</v>
      </c>
      <c r="H75" s="53">
        <f t="shared" si="20"/>
        <v>0.12764724814934014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0.15639737147274829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51.584615384615375</v>
      </c>
      <c r="E76" s="54" t="e">
        <f t="shared" si="21"/>
        <v>#VALUE!</v>
      </c>
      <c r="F76" s="54">
        <f t="shared" si="21"/>
        <v>32.456410256410237</v>
      </c>
      <c r="G76" s="54" t="e">
        <f t="shared" si="21"/>
        <v>#VALUE!</v>
      </c>
      <c r="H76" s="54">
        <f t="shared" si="21"/>
        <v>30.507692307692295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31.123076923076912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0.10626293022381039</v>
      </c>
      <c r="E77" s="53" t="e">
        <f>E78/E59</f>
        <v>#VALUE!</v>
      </c>
      <c r="F77" s="53">
        <f t="shared" si="22"/>
        <v>0.10543510543510538</v>
      </c>
      <c r="G77" s="53" t="e">
        <f>G78/G59</f>
        <v>#VALUE!</v>
      </c>
      <c r="H77" s="53">
        <f t="shared" si="22"/>
        <v>0.10782104924364333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0.1372245844607653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43.461538461538453</v>
      </c>
      <c r="E78" s="54" t="e">
        <f>E64-E69</f>
        <v>#VALUE!</v>
      </c>
      <c r="F78" s="54">
        <f t="shared" si="23"/>
        <v>27.307692307692296</v>
      </c>
      <c r="G78" s="54" t="e">
        <f>G64-G69</f>
        <v>#VALUE!</v>
      </c>
      <c r="H78" s="54">
        <f t="shared" si="23"/>
        <v>25.769230769230756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27.307692307692296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7.6471694564604079E-2</v>
      </c>
      <c r="E79" s="53" t="e">
        <f t="shared" si="24"/>
        <v>#VALUE!</v>
      </c>
      <c r="F79" s="53">
        <f t="shared" si="24"/>
        <v>7.5616275616275555E-2</v>
      </c>
      <c r="G79" s="53" t="e">
        <f t="shared" si="24"/>
        <v>#VALUE!</v>
      </c>
      <c r="H79" s="53">
        <f t="shared" si="24"/>
        <v>7.8081750885098111E-2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0.10846540394279082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31.276923076923069</v>
      </c>
      <c r="E80" s="54" t="e">
        <f t="shared" si="25"/>
        <v>#VALUE!</v>
      </c>
      <c r="F80" s="54">
        <f t="shared" si="25"/>
        <v>19.584615384615368</v>
      </c>
      <c r="G80" s="54" t="e">
        <f t="shared" si="25"/>
        <v>#VALUE!</v>
      </c>
      <c r="H80" s="54">
        <f t="shared" si="25"/>
        <v>18.661538461538449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21.584615384615372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5.6610870791799869E-2</v>
      </c>
      <c r="E81" s="53" t="e">
        <f t="shared" si="26"/>
        <v>#VALUE!</v>
      </c>
      <c r="F81" s="53">
        <f t="shared" si="26"/>
        <v>5.573705573705566E-2</v>
      </c>
      <c r="G81" s="53" t="e">
        <f t="shared" si="26"/>
        <v>#VALUE!</v>
      </c>
      <c r="H81" s="53">
        <f t="shared" si="26"/>
        <v>5.8255551979401278E-2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8.9292616930807797E-2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23.153846153846146</v>
      </c>
      <c r="E82" s="35" t="e">
        <f t="shared" si="27"/>
        <v>#VALUE!</v>
      </c>
      <c r="F82" s="35">
        <f t="shared" si="27"/>
        <v>14.435897435897417</v>
      </c>
      <c r="G82" s="35" t="e">
        <f t="shared" si="27"/>
        <v>#VALUE!</v>
      </c>
      <c r="H82" s="35">
        <f t="shared" si="27"/>
        <v>13.923076923076906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17.769230769230752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0.10216024073725784</v>
      </c>
      <c r="E86" s="53" t="e">
        <f t="shared" si="30"/>
        <v>#VALUE!</v>
      </c>
      <c r="F86" s="57">
        <f t="shared" si="30"/>
        <v>0.10150460350460344</v>
      </c>
      <c r="G86" s="53" t="e">
        <f t="shared" si="30"/>
        <v>#VALUE!</v>
      </c>
      <c r="H86" s="57">
        <f t="shared" si="30"/>
        <v>0.10339427100096552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0.12668187089292612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41.783538461538456</v>
      </c>
      <c r="E87" s="54" t="e">
        <f t="shared" si="31"/>
        <v>#VALUE!</v>
      </c>
      <c r="F87" s="58">
        <f t="shared" si="31"/>
        <v>26.289692307692292</v>
      </c>
      <c r="G87" s="54" t="e">
        <f t="shared" si="31"/>
        <v>#VALUE!</v>
      </c>
      <c r="H87" s="58">
        <f t="shared" si="31"/>
        <v>24.71123076923076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25.209692307692301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8.6072973481286411E-2</v>
      </c>
      <c r="E88" s="53" t="e">
        <f t="shared" si="32"/>
        <v>#VALUE!</v>
      </c>
      <c r="F88" s="57">
        <f t="shared" si="32"/>
        <v>8.5402435402435375E-2</v>
      </c>
      <c r="G88" s="53" t="e">
        <f t="shared" si="32"/>
        <v>#VALUE!</v>
      </c>
      <c r="H88" s="57">
        <f t="shared" si="32"/>
        <v>8.7335049887351093E-2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0.11115191341321991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35.203846153846143</v>
      </c>
      <c r="E89" s="54" t="e">
        <f t="shared" si="33"/>
        <v>#VALUE!</v>
      </c>
      <c r="F89" s="58">
        <f t="shared" si="33"/>
        <v>22.119230769230761</v>
      </c>
      <c r="G89" s="54" t="e">
        <f t="shared" si="33"/>
        <v>#VALUE!</v>
      </c>
      <c r="H89" s="58">
        <f t="shared" si="33"/>
        <v>20.873076923076912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22.119230769230761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6.1942072597329305E-2</v>
      </c>
      <c r="E90" s="53" t="e">
        <f t="shared" ref="E90:O90" si="34">E91/E59</f>
        <v>#VALUE!</v>
      </c>
      <c r="F90" s="57">
        <f t="shared" si="34"/>
        <v>6.1249183249183201E-2</v>
      </c>
      <c r="G90" s="53" t="e">
        <f t="shared" si="34"/>
        <v>#VALUE!</v>
      </c>
      <c r="H90" s="57">
        <f t="shared" si="34"/>
        <v>6.3246218216929467E-2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8.7856977193660563E-2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25.334307692307686</v>
      </c>
      <c r="E91" s="54" t="e">
        <f t="shared" si="35"/>
        <v>#VALUE!</v>
      </c>
      <c r="F91" s="58">
        <f t="shared" si="35"/>
        <v>15.863538461538448</v>
      </c>
      <c r="G91" s="54" t="e">
        <f t="shared" si="35"/>
        <v>#VALUE!</v>
      </c>
      <c r="H91" s="58">
        <f t="shared" si="35"/>
        <v>15.115846153846142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17.483538461538451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4.5854805341357892E-2</v>
      </c>
      <c r="E92" s="53" t="e">
        <f t="shared" si="36"/>
        <v>#VALUE!</v>
      </c>
      <c r="F92" s="57">
        <f t="shared" si="36"/>
        <v>4.5147015147015086E-2</v>
      </c>
      <c r="G92" s="53" t="e">
        <f t="shared" si="36"/>
        <v>#VALUE!</v>
      </c>
      <c r="H92" s="57">
        <f t="shared" si="36"/>
        <v>4.7186997103315031E-2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7.2327019713954319E-2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18.754615384615377</v>
      </c>
      <c r="E93" s="35" t="e">
        <f t="shared" si="37"/>
        <v>#VALUE!</v>
      </c>
      <c r="F93" s="33">
        <f t="shared" si="37"/>
        <v>11.693076923076907</v>
      </c>
      <c r="G93" s="35" t="e">
        <f t="shared" si="37"/>
        <v>#VALUE!</v>
      </c>
      <c r="H93" s="33">
        <f t="shared" si="37"/>
        <v>11.277692307692293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14.39307692307691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B5319-CA6D-4280-83A8-9DFB1F9310E5}">
  <sheetPr>
    <outlinePr summaryBelow="0" summaryRight="0"/>
  </sheetPr>
  <dimension ref="A1:Z993"/>
  <sheetViews>
    <sheetView showGridLines="0" topLeftCell="D44" zoomScaleNormal="100" workbookViewId="0">
      <selection activeCell="D49" sqref="D49:O4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99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410*0.8</f>
        <v>328</v>
      </c>
      <c r="E21" s="141"/>
      <c r="F21" s="142">
        <f>260*0.8</f>
        <v>208</v>
      </c>
      <c r="G21" s="141"/>
      <c r="H21" s="142">
        <f>225*0.8</f>
        <v>180</v>
      </c>
      <c r="I21" s="140"/>
      <c r="J21" s="142"/>
      <c r="K21" s="145"/>
      <c r="L21" s="142">
        <f>130*0.8</f>
        <v>104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336.8</v>
      </c>
      <c r="E28" s="24">
        <f t="shared" si="0"/>
        <v>0</v>
      </c>
      <c r="F28" s="23">
        <f t="shared" si="0"/>
        <v>216.8</v>
      </c>
      <c r="G28" s="24">
        <f t="shared" si="0"/>
        <v>0</v>
      </c>
      <c r="H28" s="23">
        <f t="shared" si="0"/>
        <v>188.8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112.8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431.79487179487177</v>
      </c>
      <c r="E29" s="26">
        <f t="shared" si="1"/>
        <v>0</v>
      </c>
      <c r="F29" s="25">
        <f t="shared" si="1"/>
        <v>277.94871794871796</v>
      </c>
      <c r="G29" s="26">
        <f t="shared" si="1"/>
        <v>0</v>
      </c>
      <c r="H29" s="25">
        <f t="shared" si="1"/>
        <v>242.05128205128204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144.61538461538461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336.8</v>
      </c>
      <c r="E42" s="128">
        <f t="shared" ref="E42:O42" si="6">SUM($D$16,E28,E38)</f>
        <v>0</v>
      </c>
      <c r="F42" s="32">
        <f t="shared" si="6"/>
        <v>216.8</v>
      </c>
      <c r="G42" s="32">
        <f t="shared" si="6"/>
        <v>0</v>
      </c>
      <c r="H42" s="32">
        <f t="shared" si="6"/>
        <v>188.8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112.8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439</v>
      </c>
      <c r="E59" s="136" t="s">
        <v>81</v>
      </c>
      <c r="F59" s="136">
        <f t="shared" ref="F59:L59" si="12">(MROUND(SUM($D$15,F29,F38,F51)+5,10)-1)</f>
        <v>279</v>
      </c>
      <c r="G59" s="136" t="s">
        <v>81</v>
      </c>
      <c r="H59" s="136">
        <f t="shared" si="12"/>
        <v>249</v>
      </c>
      <c r="I59" s="136" t="s">
        <v>81</v>
      </c>
      <c r="J59" s="136" t="s">
        <v>81</v>
      </c>
      <c r="K59" s="137" t="s">
        <v>81</v>
      </c>
      <c r="L59" s="136">
        <f t="shared" si="12"/>
        <v>149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0.23668646080760095</v>
      </c>
      <c r="E63" s="36" t="e">
        <f t="shared" si="14"/>
        <v>#VALUE!</v>
      </c>
      <c r="F63" s="36">
        <f t="shared" si="14"/>
        <v>0.22378228782287818</v>
      </c>
      <c r="G63" s="36" t="e">
        <f t="shared" si="14"/>
        <v>#VALUE!</v>
      </c>
      <c r="H63" s="36">
        <f t="shared" si="14"/>
        <v>0.24870762711864403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0.25031914893617024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102.19999999999999</v>
      </c>
      <c r="E64" s="34" t="e">
        <f>E59-E42</f>
        <v>#VALUE!</v>
      </c>
      <c r="F64" s="34">
        <f t="shared" si="15"/>
        <v>62.199999999999989</v>
      </c>
      <c r="G64" s="34" t="e">
        <f t="shared" si="15"/>
        <v>#VALUE!</v>
      </c>
      <c r="H64" s="34">
        <f t="shared" si="15"/>
        <v>60.199999999999989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36.200000000000003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43.179487179487182</v>
      </c>
      <c r="E68" s="42">
        <f t="shared" ref="E68:O68" si="17">E29*$C$68</f>
        <v>0</v>
      </c>
      <c r="F68" s="41">
        <f t="shared" si="17"/>
        <v>27.794871794871796</v>
      </c>
      <c r="G68" s="42">
        <f t="shared" si="17"/>
        <v>0</v>
      </c>
      <c r="H68" s="41">
        <f t="shared" si="17"/>
        <v>24.205128205128204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14.461538461538462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51.815384615384609</v>
      </c>
      <c r="E69" s="46">
        <f>E29*$C$69</f>
        <v>0</v>
      </c>
      <c r="F69" s="41">
        <f>$F$29*$C$69</f>
        <v>33.353846153846156</v>
      </c>
      <c r="G69" s="46">
        <f>G29*$C$69</f>
        <v>0</v>
      </c>
      <c r="H69" s="41">
        <f>$H$29*$C$69</f>
        <v>29.046153846153842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17.353846153846153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64.769230769230759</v>
      </c>
      <c r="E70" s="46">
        <f>E29*$C$70</f>
        <v>0</v>
      </c>
      <c r="F70" s="41">
        <f>$F$29*$C$70</f>
        <v>41.692307692307693</v>
      </c>
      <c r="G70" s="46">
        <f>G29*$C$70</f>
        <v>0</v>
      </c>
      <c r="H70" s="41">
        <f>$H$29*$C$70</f>
        <v>36.307692307692307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21.69230769230769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73.405128205128207</v>
      </c>
      <c r="E71" s="49">
        <f>E29*$C$71</f>
        <v>0</v>
      </c>
      <c r="F71" s="32">
        <f>$F$29*$C$71</f>
        <v>47.251282051282054</v>
      </c>
      <c r="G71" s="49">
        <f>G29*$C$71</f>
        <v>0</v>
      </c>
      <c r="H71" s="32">
        <f>$H$29*$C$71</f>
        <v>41.148717948717952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24.584615384615386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0.13444308159570115</v>
      </c>
      <c r="E75" s="53" t="e">
        <f t="shared" si="20"/>
        <v>#VALUE!</v>
      </c>
      <c r="F75" s="53">
        <f t="shared" si="20"/>
        <v>0.12331587170296843</v>
      </c>
      <c r="G75" s="53" t="e">
        <f t="shared" si="20"/>
        <v>#VALUE!</v>
      </c>
      <c r="H75" s="53">
        <f t="shared" si="20"/>
        <v>0.1445577180516939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0.14589571502323184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59.020512820512806</v>
      </c>
      <c r="E76" s="54" t="e">
        <f t="shared" si="21"/>
        <v>#VALUE!</v>
      </c>
      <c r="F76" s="54">
        <f t="shared" si="21"/>
        <v>34.405128205128193</v>
      </c>
      <c r="G76" s="54" t="e">
        <f t="shared" si="21"/>
        <v>#VALUE!</v>
      </c>
      <c r="H76" s="54">
        <f t="shared" si="21"/>
        <v>35.994871794871784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21.738461538461543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0.11477133345014894</v>
      </c>
      <c r="E77" s="53" t="e">
        <f>E78/E59</f>
        <v>#VALUE!</v>
      </c>
      <c r="F77" s="53">
        <f t="shared" si="22"/>
        <v>0.10339123242349044</v>
      </c>
      <c r="G77" s="53" t="e">
        <f>G78/G59</f>
        <v>#VALUE!</v>
      </c>
      <c r="H77" s="53">
        <f t="shared" si="22"/>
        <v>0.12511584800741424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0.12648425400103255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50.38461538461538</v>
      </c>
      <c r="E78" s="54" t="e">
        <f>E64-E69</f>
        <v>#VALUE!</v>
      </c>
      <c r="F78" s="54">
        <f t="shared" si="23"/>
        <v>28.846153846153832</v>
      </c>
      <c r="G78" s="54" t="e">
        <f>G64-G69</f>
        <v>#VALUE!</v>
      </c>
      <c r="H78" s="54">
        <f t="shared" si="23"/>
        <v>31.153846153846146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18.84615384615385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8.5263711231820569E-2</v>
      </c>
      <c r="E79" s="53" t="e">
        <f t="shared" si="24"/>
        <v>#VALUE!</v>
      </c>
      <c r="F79" s="53">
        <f t="shared" si="24"/>
        <v>7.3504273504273465E-2</v>
      </c>
      <c r="G79" s="53" t="e">
        <f t="shared" si="24"/>
        <v>#VALUE!</v>
      </c>
      <c r="H79" s="53">
        <f t="shared" si="24"/>
        <v>9.5953042940994701E-2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9.7367062467733648E-2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37.430769230769229</v>
      </c>
      <c r="E80" s="54" t="e">
        <f t="shared" si="25"/>
        <v>#VALUE!</v>
      </c>
      <c r="F80" s="54">
        <f t="shared" si="25"/>
        <v>20.507692307692295</v>
      </c>
      <c r="G80" s="54" t="e">
        <f t="shared" si="25"/>
        <v>#VALUE!</v>
      </c>
      <c r="H80" s="54">
        <f t="shared" si="25"/>
        <v>23.892307692307682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14.507692307692313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6.5591963086268301E-2</v>
      </c>
      <c r="E81" s="53" t="e">
        <f t="shared" si="26"/>
        <v>#VALUE!</v>
      </c>
      <c r="F81" s="53">
        <f t="shared" si="26"/>
        <v>5.3579634224795468E-2</v>
      </c>
      <c r="G81" s="53" t="e">
        <f t="shared" si="26"/>
        <v>#VALUE!</v>
      </c>
      <c r="H81" s="53">
        <f t="shared" si="26"/>
        <v>7.651117289671501E-2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7.7955601445534345E-2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28.794871794871781</v>
      </c>
      <c r="E82" s="35" t="e">
        <f t="shared" si="27"/>
        <v>#VALUE!</v>
      </c>
      <c r="F82" s="35">
        <f t="shared" si="27"/>
        <v>14.948717948717935</v>
      </c>
      <c r="G82" s="35" t="e">
        <f t="shared" si="27"/>
        <v>#VALUE!</v>
      </c>
      <c r="H82" s="35">
        <f t="shared" si="27"/>
        <v>19.051282051282037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11.615384615384617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0.10889889609251793</v>
      </c>
      <c r="E86" s="53" t="e">
        <f t="shared" si="30"/>
        <v>#VALUE!</v>
      </c>
      <c r="F86" s="57">
        <f t="shared" si="30"/>
        <v>9.9885856079404436E-2</v>
      </c>
      <c r="G86" s="53" t="e">
        <f t="shared" si="30"/>
        <v>#VALUE!</v>
      </c>
      <c r="H86" s="57">
        <f t="shared" si="30"/>
        <v>0.11709175162187208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0.11817552916881779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47.80661538461537</v>
      </c>
      <c r="E87" s="54" t="e">
        <f t="shared" si="31"/>
        <v>#VALUE!</v>
      </c>
      <c r="F87" s="58">
        <f t="shared" si="31"/>
        <v>27.868153846153838</v>
      </c>
      <c r="G87" s="54" t="e">
        <f t="shared" si="31"/>
        <v>#VALUE!</v>
      </c>
      <c r="H87" s="58">
        <f t="shared" si="31"/>
        <v>29.155846153846145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17.608153846153851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9.2964780094620642E-2</v>
      </c>
      <c r="E88" s="53" t="e">
        <f t="shared" si="32"/>
        <v>#VALUE!</v>
      </c>
      <c r="F88" s="57">
        <f t="shared" si="32"/>
        <v>8.3746898263027267E-2</v>
      </c>
      <c r="G88" s="53" t="e">
        <f t="shared" si="32"/>
        <v>#VALUE!</v>
      </c>
      <c r="H88" s="57">
        <f t="shared" si="32"/>
        <v>0.10134383688600553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0.10245224574083636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40.811538461538461</v>
      </c>
      <c r="E89" s="54" t="e">
        <f t="shared" si="33"/>
        <v>#VALUE!</v>
      </c>
      <c r="F89" s="58">
        <f t="shared" si="33"/>
        <v>23.365384615384606</v>
      </c>
      <c r="G89" s="54" t="e">
        <f t="shared" si="33"/>
        <v>#VALUE!</v>
      </c>
      <c r="H89" s="58">
        <f t="shared" si="33"/>
        <v>25.234615384615378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15.265384615384619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6.9063606097774663E-2</v>
      </c>
      <c r="E90" s="53" t="e">
        <f t="shared" ref="E90:O90" si="34">E91/E59</f>
        <v>#VALUE!</v>
      </c>
      <c r="F90" s="57">
        <f t="shared" si="34"/>
        <v>5.9538461538461498E-2</v>
      </c>
      <c r="G90" s="53" t="e">
        <f t="shared" si="34"/>
        <v>#VALUE!</v>
      </c>
      <c r="H90" s="57">
        <f t="shared" si="34"/>
        <v>7.7721964782205707E-2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7.8867320598864254E-2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30.318923076923078</v>
      </c>
      <c r="E91" s="54" t="e">
        <f t="shared" si="35"/>
        <v>#VALUE!</v>
      </c>
      <c r="F91" s="58">
        <f t="shared" si="35"/>
        <v>16.611230769230758</v>
      </c>
      <c r="G91" s="54" t="e">
        <f t="shared" si="35"/>
        <v>#VALUE!</v>
      </c>
      <c r="H91" s="58">
        <f t="shared" si="35"/>
        <v>19.352769230769223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11.751230769230773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5.3129490099877316E-2</v>
      </c>
      <c r="E92" s="53" t="e">
        <f t="shared" si="36"/>
        <v>#VALUE!</v>
      </c>
      <c r="F92" s="57">
        <f t="shared" si="36"/>
        <v>4.3399503722084322E-2</v>
      </c>
      <c r="G92" s="53" t="e">
        <f t="shared" si="36"/>
        <v>#VALUE!</v>
      </c>
      <c r="H92" s="57">
        <f t="shared" si="36"/>
        <v>6.1974050046339157E-2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6.3144037170882808E-2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23.323846153846141</v>
      </c>
      <c r="E93" s="35" t="e">
        <f t="shared" si="37"/>
        <v>#VALUE!</v>
      </c>
      <c r="F93" s="33">
        <f t="shared" si="37"/>
        <v>12.108461538461526</v>
      </c>
      <c r="G93" s="35" t="e">
        <f t="shared" si="37"/>
        <v>#VALUE!</v>
      </c>
      <c r="H93" s="33">
        <f t="shared" si="37"/>
        <v>15.43153846153845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9.4084615384615393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B06D-A804-4049-83E8-3C896F800F10}">
  <sheetPr>
    <outlinePr summaryBelow="0" summaryRight="0"/>
  </sheetPr>
  <dimension ref="A1:Z993"/>
  <sheetViews>
    <sheetView showGridLines="0" topLeftCell="D50" zoomScaleNormal="100" workbookViewId="0">
      <selection activeCell="D49" sqref="D49:O4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100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455*0.8</f>
        <v>364</v>
      </c>
      <c r="E21" s="141"/>
      <c r="F21" s="142">
        <f>270*0.8</f>
        <v>216</v>
      </c>
      <c r="G21" s="141"/>
      <c r="H21" s="142">
        <f>250*0.8</f>
        <v>200</v>
      </c>
      <c r="I21" s="140"/>
      <c r="J21" s="142"/>
      <c r="K21" s="145"/>
      <c r="L21" s="142">
        <f>95*0.8</f>
        <v>76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372.8</v>
      </c>
      <c r="E28" s="24">
        <f t="shared" si="0"/>
        <v>0</v>
      </c>
      <c r="F28" s="23">
        <f t="shared" si="0"/>
        <v>224.8</v>
      </c>
      <c r="G28" s="24">
        <f t="shared" si="0"/>
        <v>0</v>
      </c>
      <c r="H28" s="23">
        <f t="shared" si="0"/>
        <v>208.8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84.8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477.94871794871796</v>
      </c>
      <c r="E29" s="26">
        <f t="shared" si="1"/>
        <v>0</v>
      </c>
      <c r="F29" s="25">
        <f t="shared" si="1"/>
        <v>288.20512820512823</v>
      </c>
      <c r="G29" s="26">
        <f t="shared" si="1"/>
        <v>0</v>
      </c>
      <c r="H29" s="25">
        <f t="shared" si="1"/>
        <v>267.69230769230768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108.71794871794872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372.8</v>
      </c>
      <c r="E42" s="128">
        <f t="shared" ref="E42:O42" si="6">SUM($D$16,E28,E38)</f>
        <v>0</v>
      </c>
      <c r="F42" s="32">
        <f t="shared" si="6"/>
        <v>224.8</v>
      </c>
      <c r="G42" s="32">
        <f t="shared" si="6"/>
        <v>0</v>
      </c>
      <c r="H42" s="32">
        <f t="shared" si="6"/>
        <v>208.8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84.8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479</v>
      </c>
      <c r="E59" s="136" t="s">
        <v>81</v>
      </c>
      <c r="F59" s="136">
        <f t="shared" ref="F59:L59" si="12">(MROUND(SUM($D$15,F29,F38,F51)+5,10)-1)</f>
        <v>289</v>
      </c>
      <c r="G59" s="136" t="s">
        <v>81</v>
      </c>
      <c r="H59" s="136">
        <f t="shared" si="12"/>
        <v>269</v>
      </c>
      <c r="I59" s="136" t="s">
        <v>81</v>
      </c>
      <c r="J59" s="136" t="s">
        <v>81</v>
      </c>
      <c r="K59" s="137" t="s">
        <v>81</v>
      </c>
      <c r="L59" s="136">
        <f t="shared" si="12"/>
        <v>109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0.22219957081545061</v>
      </c>
      <c r="E63" s="36" t="e">
        <f t="shared" si="14"/>
        <v>#VALUE!</v>
      </c>
      <c r="F63" s="36">
        <f t="shared" si="14"/>
        <v>0.22275800711743765</v>
      </c>
      <c r="G63" s="36" t="e">
        <f t="shared" si="14"/>
        <v>#VALUE!</v>
      </c>
      <c r="H63" s="36">
        <f t="shared" si="14"/>
        <v>0.22488505747126433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0.22259433962264155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106.19999999999999</v>
      </c>
      <c r="E64" s="34" t="e">
        <f>E59-E42</f>
        <v>#VALUE!</v>
      </c>
      <c r="F64" s="34">
        <f t="shared" si="15"/>
        <v>64.199999999999989</v>
      </c>
      <c r="G64" s="34" t="e">
        <f t="shared" si="15"/>
        <v>#VALUE!</v>
      </c>
      <c r="H64" s="34">
        <f t="shared" si="15"/>
        <v>60.199999999999989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24.200000000000003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47.794871794871796</v>
      </c>
      <c r="E68" s="42">
        <f t="shared" ref="E68:O68" si="17">E29*$C$68</f>
        <v>0</v>
      </c>
      <c r="F68" s="41">
        <f t="shared" si="17"/>
        <v>28.820512820512825</v>
      </c>
      <c r="G68" s="42">
        <f t="shared" si="17"/>
        <v>0</v>
      </c>
      <c r="H68" s="41">
        <f t="shared" si="17"/>
        <v>26.76923076923077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10.871794871794872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57.353846153846156</v>
      </c>
      <c r="E69" s="46">
        <f>E29*$C$69</f>
        <v>0</v>
      </c>
      <c r="F69" s="41">
        <f>$F$29*$C$69</f>
        <v>34.58461538461539</v>
      </c>
      <c r="G69" s="46">
        <f>G29*$C$69</f>
        <v>0</v>
      </c>
      <c r="H69" s="41">
        <f>$H$29*$C$69</f>
        <v>32.123076923076923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13.046153846153846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71.692307692307693</v>
      </c>
      <c r="E70" s="46">
        <f>E29*$C$70</f>
        <v>0</v>
      </c>
      <c r="F70" s="41">
        <f>$F$29*$C$70</f>
        <v>43.230769230769234</v>
      </c>
      <c r="G70" s="46">
        <f>G29*$C$70</f>
        <v>0</v>
      </c>
      <c r="H70" s="41">
        <f>$H$29*$C$70</f>
        <v>40.153846153846153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16.307692307692307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81.251282051282061</v>
      </c>
      <c r="E71" s="49">
        <f>E29*$C$71</f>
        <v>0</v>
      </c>
      <c r="F71" s="32">
        <f>$F$29*$C$71</f>
        <v>48.994871794871806</v>
      </c>
      <c r="G71" s="49">
        <f>G29*$C$71</f>
        <v>0</v>
      </c>
      <c r="H71" s="32">
        <f>$H$29*$C$71</f>
        <v>45.507692307692309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18.482051282051284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0.12193137412344091</v>
      </c>
      <c r="E75" s="53" t="e">
        <f t="shared" si="20"/>
        <v>#VALUE!</v>
      </c>
      <c r="F75" s="53">
        <f t="shared" si="20"/>
        <v>0.12242037086327738</v>
      </c>
      <c r="G75" s="53" t="e">
        <f t="shared" si="20"/>
        <v>#VALUE!</v>
      </c>
      <c r="H75" s="53">
        <f t="shared" si="20"/>
        <v>0.12427795253074057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0.12227711126793697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58.405128205128193</v>
      </c>
      <c r="E76" s="54" t="e">
        <f t="shared" si="21"/>
        <v>#VALUE!</v>
      </c>
      <c r="F76" s="54">
        <f t="shared" si="21"/>
        <v>35.379487179487164</v>
      </c>
      <c r="G76" s="54" t="e">
        <f t="shared" si="21"/>
        <v>#VALUE!</v>
      </c>
      <c r="H76" s="54">
        <f t="shared" si="21"/>
        <v>33.430769230769215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13.328205128205131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0.10197526898988274</v>
      </c>
      <c r="E77" s="53" t="e">
        <f>E78/E59</f>
        <v>#VALUE!</v>
      </c>
      <c r="F77" s="53">
        <f t="shared" si="22"/>
        <v>0.10247537929198823</v>
      </c>
      <c r="G77" s="53" t="e">
        <f>G78/G59</f>
        <v>#VALUE!</v>
      </c>
      <c r="H77" s="53">
        <f t="shared" si="22"/>
        <v>0.10437517872462106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0.10232886379675374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48.846153846153832</v>
      </c>
      <c r="E78" s="54" t="e">
        <f>E64-E69</f>
        <v>#VALUE!</v>
      </c>
      <c r="F78" s="54">
        <f t="shared" si="23"/>
        <v>29.615384615384599</v>
      </c>
      <c r="G78" s="54" t="e">
        <f>G64-G69</f>
        <v>#VALUE!</v>
      </c>
      <c r="H78" s="54">
        <f t="shared" si="23"/>
        <v>28.076923076923066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11.153846153846157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7.2041111289545504E-2</v>
      </c>
      <c r="E79" s="53" t="e">
        <f t="shared" si="24"/>
        <v>#VALUE!</v>
      </c>
      <c r="F79" s="53">
        <f t="shared" si="24"/>
        <v>7.2557891935054519E-2</v>
      </c>
      <c r="G79" s="53" t="e">
        <f t="shared" si="24"/>
        <v>#VALUE!</v>
      </c>
      <c r="H79" s="53">
        <f t="shared" si="24"/>
        <v>7.4521018015441767E-2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7.240649258997886E-2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34.507692307692295</v>
      </c>
      <c r="E80" s="54" t="e">
        <f t="shared" si="25"/>
        <v>#VALUE!</v>
      </c>
      <c r="F80" s="54">
        <f t="shared" si="25"/>
        <v>20.969230769230755</v>
      </c>
      <c r="G80" s="54" t="e">
        <f t="shared" si="25"/>
        <v>#VALUE!</v>
      </c>
      <c r="H80" s="54">
        <f t="shared" si="25"/>
        <v>20.046153846153835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7.8923076923076962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5.2085006155987323E-2</v>
      </c>
      <c r="E81" s="53" t="e">
        <f t="shared" si="26"/>
        <v>#VALUE!</v>
      </c>
      <c r="F81" s="53">
        <f t="shared" si="26"/>
        <v>5.2612900363765341E-2</v>
      </c>
      <c r="G81" s="53" t="e">
        <f t="shared" si="26"/>
        <v>#VALUE!</v>
      </c>
      <c r="H81" s="53">
        <f t="shared" si="26"/>
        <v>5.461824420932223E-2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5.2458245118795585E-2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24.948717948717928</v>
      </c>
      <c r="E82" s="35" t="e">
        <f t="shared" si="27"/>
        <v>#VALUE!</v>
      </c>
      <c r="F82" s="35">
        <f t="shared" si="27"/>
        <v>15.205128205128183</v>
      </c>
      <c r="G82" s="35" t="e">
        <f t="shared" si="27"/>
        <v>#VALUE!</v>
      </c>
      <c r="H82" s="35">
        <f t="shared" si="27"/>
        <v>14.692307692307679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5.717948717948719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9.8764413039987134E-2</v>
      </c>
      <c r="E86" s="53" t="e">
        <f t="shared" si="30"/>
        <v>#VALUE!</v>
      </c>
      <c r="F86" s="57">
        <f t="shared" si="30"/>
        <v>9.916050039925467E-2</v>
      </c>
      <c r="G86" s="53" t="e">
        <f t="shared" si="30"/>
        <v>#VALUE!</v>
      </c>
      <c r="H86" s="57">
        <f t="shared" si="30"/>
        <v>0.10066514154989988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9.9044460127028958E-2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47.308153846153836</v>
      </c>
      <c r="E87" s="54" t="e">
        <f t="shared" si="31"/>
        <v>#VALUE!</v>
      </c>
      <c r="F87" s="58">
        <f t="shared" si="31"/>
        <v>28.657384615384601</v>
      </c>
      <c r="G87" s="54" t="e">
        <f t="shared" si="31"/>
        <v>#VALUE!</v>
      </c>
      <c r="H87" s="58">
        <f t="shared" si="31"/>
        <v>27.078923076923065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10.795846153846156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8.2599967881805014E-2</v>
      </c>
      <c r="E88" s="53" t="e">
        <f t="shared" si="32"/>
        <v>#VALUE!</v>
      </c>
      <c r="F88" s="57">
        <f t="shared" si="32"/>
        <v>8.300505722651047E-2</v>
      </c>
      <c r="G88" s="53" t="e">
        <f t="shared" si="32"/>
        <v>#VALUE!</v>
      </c>
      <c r="H88" s="57">
        <f t="shared" si="32"/>
        <v>8.4543894766943059E-2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8.288637967537052E-2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39.565384615384602</v>
      </c>
      <c r="E89" s="54" t="e">
        <f t="shared" si="33"/>
        <v>#VALUE!</v>
      </c>
      <c r="F89" s="58">
        <f t="shared" si="33"/>
        <v>23.988461538461525</v>
      </c>
      <c r="G89" s="54" t="e">
        <f t="shared" si="33"/>
        <v>#VALUE!</v>
      </c>
      <c r="H89" s="58">
        <f t="shared" si="33"/>
        <v>22.742307692307683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9.0346153846153872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5.8353300144531856E-2</v>
      </c>
      <c r="E90" s="53" t="e">
        <f t="shared" ref="E90:O90" si="34">E91/E59</f>
        <v>#VALUE!</v>
      </c>
      <c r="F90" s="57">
        <f t="shared" si="34"/>
        <v>5.877189246739415E-2</v>
      </c>
      <c r="G90" s="53" t="e">
        <f t="shared" si="34"/>
        <v>#VALUE!</v>
      </c>
      <c r="H90" s="57">
        <f t="shared" si="34"/>
        <v>6.0362024592507828E-2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5.8649258997882883E-2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27.951230769230758</v>
      </c>
      <c r="E91" s="54" t="e">
        <f t="shared" si="35"/>
        <v>#VALUE!</v>
      </c>
      <c r="F91" s="58">
        <f t="shared" si="35"/>
        <v>16.98507692307691</v>
      </c>
      <c r="G91" s="54" t="e">
        <f t="shared" si="35"/>
        <v>#VALUE!</v>
      </c>
      <c r="H91" s="58">
        <f t="shared" si="35"/>
        <v>16.237384615384606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6.3927692307692343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4.2188854986349729E-2</v>
      </c>
      <c r="E92" s="53" t="e">
        <f t="shared" si="36"/>
        <v>#VALUE!</v>
      </c>
      <c r="F92" s="57">
        <f t="shared" si="36"/>
        <v>4.2616449294649923E-2</v>
      </c>
      <c r="G92" s="53" t="e">
        <f t="shared" si="36"/>
        <v>#VALUE!</v>
      </c>
      <c r="H92" s="57">
        <f t="shared" si="36"/>
        <v>4.4240777809551005E-2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4.2491178546224424E-2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20.20846153846152</v>
      </c>
      <c r="E93" s="35" t="e">
        <f t="shared" si="37"/>
        <v>#VALUE!</v>
      </c>
      <c r="F93" s="33">
        <f t="shared" si="37"/>
        <v>12.316153846153828</v>
      </c>
      <c r="G93" s="35" t="e">
        <f t="shared" si="37"/>
        <v>#VALUE!</v>
      </c>
      <c r="H93" s="33">
        <f t="shared" si="37"/>
        <v>11.900769230769221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4.6315384615384625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3CB41-C8A0-4B91-A674-095FEA4C42B9}">
  <sheetPr>
    <outlinePr summaryBelow="0" summaryRight="0"/>
  </sheetPr>
  <dimension ref="A1:Z993"/>
  <sheetViews>
    <sheetView showGridLines="0" topLeftCell="D52" zoomScaleNormal="100" workbookViewId="0">
      <selection activeCell="L22" sqref="L22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102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490*0.8</f>
        <v>392</v>
      </c>
      <c r="E21" s="141"/>
      <c r="F21" s="142">
        <f>312*0.8</f>
        <v>249.60000000000002</v>
      </c>
      <c r="G21" s="141"/>
      <c r="H21" s="142">
        <f>295*0.8</f>
        <v>236</v>
      </c>
      <c r="I21" s="140"/>
      <c r="J21" s="142"/>
      <c r="K21" s="145"/>
      <c r="L21" s="142">
        <f>160*0.8</f>
        <v>128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400.8</v>
      </c>
      <c r="E28" s="24">
        <f t="shared" si="0"/>
        <v>0</v>
      </c>
      <c r="F28" s="23">
        <f t="shared" si="0"/>
        <v>258.40000000000003</v>
      </c>
      <c r="G28" s="24">
        <f t="shared" si="0"/>
        <v>0</v>
      </c>
      <c r="H28" s="23">
        <f t="shared" si="0"/>
        <v>244.8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136.80000000000001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513.84615384615381</v>
      </c>
      <c r="E29" s="26">
        <f t="shared" si="1"/>
        <v>0</v>
      </c>
      <c r="F29" s="25">
        <f t="shared" si="1"/>
        <v>331.28205128205133</v>
      </c>
      <c r="G29" s="26">
        <f t="shared" si="1"/>
        <v>0</v>
      </c>
      <c r="H29" s="25">
        <f t="shared" si="1"/>
        <v>313.84615384615387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175.38461538461539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400.8</v>
      </c>
      <c r="E42" s="128">
        <f t="shared" ref="E42:O42" si="6">SUM($D$16,E28,E38)</f>
        <v>0</v>
      </c>
      <c r="F42" s="32">
        <f t="shared" si="6"/>
        <v>258.40000000000003</v>
      </c>
      <c r="G42" s="32">
        <f t="shared" si="6"/>
        <v>0</v>
      </c>
      <c r="H42" s="32">
        <f t="shared" si="6"/>
        <v>244.8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136.80000000000001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519</v>
      </c>
      <c r="E59" s="136" t="s">
        <v>81</v>
      </c>
      <c r="F59" s="136">
        <f t="shared" ref="F59:L59" si="12">(MROUND(SUM($D$15,F29,F38,F51)+5,10)-1)</f>
        <v>339</v>
      </c>
      <c r="G59" s="136" t="s">
        <v>81</v>
      </c>
      <c r="H59" s="136">
        <f t="shared" si="12"/>
        <v>319</v>
      </c>
      <c r="I59" s="136" t="s">
        <v>81</v>
      </c>
      <c r="J59" s="136" t="s">
        <v>81</v>
      </c>
      <c r="K59" s="137" t="s">
        <v>81</v>
      </c>
      <c r="L59" s="136">
        <f t="shared" si="12"/>
        <v>179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0.23002994011976047</v>
      </c>
      <c r="E63" s="36" t="e">
        <f t="shared" si="14"/>
        <v>#VALUE!</v>
      </c>
      <c r="F63" s="36">
        <f t="shared" si="14"/>
        <v>0.2432972136222909</v>
      </c>
      <c r="G63" s="36" t="e">
        <f t="shared" si="14"/>
        <v>#VALUE!</v>
      </c>
      <c r="H63" s="36">
        <f t="shared" si="14"/>
        <v>0.23642156862745092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0.24061403508771922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118.19999999999999</v>
      </c>
      <c r="E64" s="34" t="e">
        <f>E59-E42</f>
        <v>#VALUE!</v>
      </c>
      <c r="F64" s="34">
        <f t="shared" si="15"/>
        <v>80.599999999999966</v>
      </c>
      <c r="G64" s="34" t="e">
        <f t="shared" si="15"/>
        <v>#VALUE!</v>
      </c>
      <c r="H64" s="34">
        <f t="shared" si="15"/>
        <v>74.199999999999989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42.199999999999989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51.384615384615387</v>
      </c>
      <c r="E68" s="42">
        <f t="shared" ref="E68:O68" si="17">E29*$C$68</f>
        <v>0</v>
      </c>
      <c r="F68" s="41">
        <f t="shared" si="17"/>
        <v>33.128205128205131</v>
      </c>
      <c r="G68" s="42">
        <f t="shared" si="17"/>
        <v>0</v>
      </c>
      <c r="H68" s="41">
        <f t="shared" si="17"/>
        <v>31.384615384615387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17.53846153846154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61.661538461538456</v>
      </c>
      <c r="E69" s="46">
        <f>E29*$C$69</f>
        <v>0</v>
      </c>
      <c r="F69" s="41">
        <f>$F$29*$C$69</f>
        <v>39.753846153846155</v>
      </c>
      <c r="G69" s="46">
        <f>G29*$C$69</f>
        <v>0</v>
      </c>
      <c r="H69" s="41">
        <f>$H$29*$C$69</f>
        <v>37.661538461538463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21.046153846153846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77.076923076923066</v>
      </c>
      <c r="E70" s="46">
        <f>E29*$C$70</f>
        <v>0</v>
      </c>
      <c r="F70" s="41">
        <f>$F$29*$C$70</f>
        <v>49.692307692307701</v>
      </c>
      <c r="G70" s="46">
        <f>G29*$C$70</f>
        <v>0</v>
      </c>
      <c r="H70" s="41">
        <f>$H$29*$C$70</f>
        <v>47.07692307692308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26.307692307692307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87.353846153846149</v>
      </c>
      <c r="E71" s="49">
        <f>E29*$C$71</f>
        <v>0</v>
      </c>
      <c r="F71" s="32">
        <f>$F$29*$C$71</f>
        <v>56.317948717948731</v>
      </c>
      <c r="G71" s="49">
        <f>G29*$C$71</f>
        <v>0</v>
      </c>
      <c r="H71" s="32">
        <f>$H$29*$C$71</f>
        <v>53.353846153846163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29.81538461538462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0.12873869868089519</v>
      </c>
      <c r="E75" s="53" t="e">
        <f t="shared" si="20"/>
        <v>#VALUE!</v>
      </c>
      <c r="F75" s="53">
        <f t="shared" si="20"/>
        <v>0.14003479313213815</v>
      </c>
      <c r="G75" s="53" t="e">
        <f t="shared" si="20"/>
        <v>#VALUE!</v>
      </c>
      <c r="H75" s="53">
        <f t="shared" si="20"/>
        <v>0.13421750663129969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0.13777395788568966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66.815384615384602</v>
      </c>
      <c r="E76" s="54" t="e">
        <f t="shared" si="21"/>
        <v>#VALUE!</v>
      </c>
      <c r="F76" s="54">
        <f t="shared" si="21"/>
        <v>47.471794871794835</v>
      </c>
      <c r="G76" s="54" t="e">
        <f t="shared" si="21"/>
        <v>#VALUE!</v>
      </c>
      <c r="H76" s="54">
        <f t="shared" si="21"/>
        <v>42.815384615384602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24.661538461538449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0.10893730546909737</v>
      </c>
      <c r="E77" s="53" t="e">
        <f>E78/E59</f>
        <v>#VALUE!</v>
      </c>
      <c r="F77" s="53">
        <f t="shared" si="22"/>
        <v>0.12049012933968675</v>
      </c>
      <c r="G77" s="53" t="e">
        <f>G78/G59</f>
        <v>#VALUE!</v>
      </c>
      <c r="H77" s="53">
        <f t="shared" si="22"/>
        <v>0.11454063178201106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0.11817791147400079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56.538461538461533</v>
      </c>
      <c r="E78" s="54" t="e">
        <f>E64-E69</f>
        <v>#VALUE!</v>
      </c>
      <c r="F78" s="54">
        <f t="shared" si="23"/>
        <v>40.846153846153811</v>
      </c>
      <c r="G78" s="54" t="e">
        <f>G64-G69</f>
        <v>#VALUE!</v>
      </c>
      <c r="H78" s="54">
        <f t="shared" si="23"/>
        <v>36.538461538461526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21.153846153846143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7.9235215651400626E-2</v>
      </c>
      <c r="E79" s="53" t="e">
        <f t="shared" si="24"/>
        <v>#VALUE!</v>
      </c>
      <c r="F79" s="53">
        <f t="shared" si="24"/>
        <v>9.1173133651009639E-2</v>
      </c>
      <c r="G79" s="53" t="e">
        <f t="shared" si="24"/>
        <v>#VALUE!</v>
      </c>
      <c r="H79" s="53">
        <f t="shared" si="24"/>
        <v>8.5025319508078082E-2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8.8783841856467496E-2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41.123076923076923</v>
      </c>
      <c r="E80" s="54" t="e">
        <f t="shared" si="25"/>
        <v>#VALUE!</v>
      </c>
      <c r="F80" s="54">
        <f t="shared" si="25"/>
        <v>30.907692307692265</v>
      </c>
      <c r="G80" s="54" t="e">
        <f t="shared" si="25"/>
        <v>#VALUE!</v>
      </c>
      <c r="H80" s="54">
        <f t="shared" si="25"/>
        <v>27.123076923076908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15.892307692307682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5.9433822439602775E-2</v>
      </c>
      <c r="E81" s="53" t="e">
        <f t="shared" si="26"/>
        <v>#VALUE!</v>
      </c>
      <c r="F81" s="53">
        <f t="shared" si="26"/>
        <v>7.1628469858558211E-2</v>
      </c>
      <c r="G81" s="53" t="e">
        <f t="shared" si="26"/>
        <v>#VALUE!</v>
      </c>
      <c r="H81" s="53">
        <f t="shared" si="26"/>
        <v>6.5348444658789417E-2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6.9187795444778599E-2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30.84615384615384</v>
      </c>
      <c r="E82" s="35" t="e">
        <f t="shared" si="27"/>
        <v>#VALUE!</v>
      </c>
      <c r="F82" s="35">
        <f t="shared" si="27"/>
        <v>24.282051282051235</v>
      </c>
      <c r="G82" s="35" t="e">
        <f t="shared" si="27"/>
        <v>#VALUE!</v>
      </c>
      <c r="H82" s="35">
        <f t="shared" si="27"/>
        <v>20.846153846153825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12.384615384615369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0.1042783459315251</v>
      </c>
      <c r="E86" s="53" t="e">
        <f t="shared" si="30"/>
        <v>#VALUE!</v>
      </c>
      <c r="F86" s="57">
        <f t="shared" si="30"/>
        <v>0.11342818243703191</v>
      </c>
      <c r="G86" s="53" t="e">
        <f t="shared" si="30"/>
        <v>#VALUE!</v>
      </c>
      <c r="H86" s="57">
        <f t="shared" si="30"/>
        <v>0.10871618037135275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0.11159690588740862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54.120461538461527</v>
      </c>
      <c r="E87" s="54" t="e">
        <f t="shared" si="31"/>
        <v>#VALUE!</v>
      </c>
      <c r="F87" s="58">
        <f t="shared" si="31"/>
        <v>38.45215384615382</v>
      </c>
      <c r="G87" s="54" t="e">
        <f t="shared" si="31"/>
        <v>#VALUE!</v>
      </c>
      <c r="H87" s="58">
        <f t="shared" si="31"/>
        <v>34.680461538461529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19.975846153846142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8.8239217429968875E-2</v>
      </c>
      <c r="E88" s="53" t="e">
        <f t="shared" si="32"/>
        <v>#VALUE!</v>
      </c>
      <c r="F88" s="57">
        <f t="shared" si="32"/>
        <v>9.7597004765146267E-2</v>
      </c>
      <c r="G88" s="53" t="e">
        <f t="shared" si="32"/>
        <v>#VALUE!</v>
      </c>
      <c r="H88" s="57">
        <f t="shared" si="32"/>
        <v>9.2777911743428948E-2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9.5724108293940652E-2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45.796153846153842</v>
      </c>
      <c r="E89" s="54" t="e">
        <f t="shared" si="33"/>
        <v>#VALUE!</v>
      </c>
      <c r="F89" s="58">
        <f t="shared" si="33"/>
        <v>33.085384615384584</v>
      </c>
      <c r="G89" s="54" t="e">
        <f t="shared" si="33"/>
        <v>#VALUE!</v>
      </c>
      <c r="H89" s="58">
        <f t="shared" si="33"/>
        <v>29.596153846153836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17.134615384615376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6.4180524677634507E-2</v>
      </c>
      <c r="E90" s="53" t="e">
        <f t="shared" ref="E90:O90" si="34">E91/E59</f>
        <v>#VALUE!</v>
      </c>
      <c r="F90" s="57">
        <f t="shared" si="34"/>
        <v>7.3850238257317805E-2</v>
      </c>
      <c r="G90" s="53" t="e">
        <f t="shared" si="34"/>
        <v>#VALUE!</v>
      </c>
      <c r="H90" s="57">
        <f t="shared" si="34"/>
        <v>6.8870508801543245E-2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7.1914911903738665E-2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33.309692307692309</v>
      </c>
      <c r="E91" s="54" t="e">
        <f t="shared" si="35"/>
        <v>#VALUE!</v>
      </c>
      <c r="F91" s="58">
        <f t="shared" si="35"/>
        <v>25.035230769230736</v>
      </c>
      <c r="G91" s="54" t="e">
        <f t="shared" si="35"/>
        <v>#VALUE!</v>
      </c>
      <c r="H91" s="58">
        <f t="shared" si="35"/>
        <v>21.969692307692295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12.872769230769222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4.8141396176078245E-2</v>
      </c>
      <c r="E92" s="53" t="e">
        <f t="shared" si="36"/>
        <v>#VALUE!</v>
      </c>
      <c r="F92" s="57">
        <f t="shared" si="36"/>
        <v>5.8019060585432151E-2</v>
      </c>
      <c r="G92" s="53" t="e">
        <f t="shared" si="36"/>
        <v>#VALUE!</v>
      </c>
      <c r="H92" s="57">
        <f t="shared" si="36"/>
        <v>5.293224017361943E-2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5.6042114310270667E-2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24.985384615384611</v>
      </c>
      <c r="E93" s="35" t="e">
        <f t="shared" si="37"/>
        <v>#VALUE!</v>
      </c>
      <c r="F93" s="33">
        <f t="shared" si="37"/>
        <v>19.6684615384615</v>
      </c>
      <c r="G93" s="35" t="e">
        <f t="shared" si="37"/>
        <v>#VALUE!</v>
      </c>
      <c r="H93" s="33">
        <f t="shared" si="37"/>
        <v>16.885384615384599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10.03153846153845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633D-BCA8-4878-8095-19D846886838}">
  <sheetPr>
    <outlinePr summaryBelow="0" summaryRight="0"/>
  </sheetPr>
  <dimension ref="A1:Z993"/>
  <sheetViews>
    <sheetView showGridLines="0" topLeftCell="D47" zoomScaleNormal="100" workbookViewId="0">
      <selection activeCell="O49" sqref="D49:O4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103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560*0.8</f>
        <v>448</v>
      </c>
      <c r="E21" s="141"/>
      <c r="F21" s="142">
        <f>360*0.8</f>
        <v>288</v>
      </c>
      <c r="G21" s="141"/>
      <c r="H21" s="142">
        <f>328*0.8</f>
        <v>262.40000000000003</v>
      </c>
      <c r="I21" s="140"/>
      <c r="J21" s="142"/>
      <c r="K21" s="145"/>
      <c r="L21" s="142">
        <f>135*0.8</f>
        <v>108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456.8</v>
      </c>
      <c r="E28" s="24">
        <f t="shared" si="0"/>
        <v>0</v>
      </c>
      <c r="F28" s="23">
        <f t="shared" si="0"/>
        <v>296.8</v>
      </c>
      <c r="G28" s="24">
        <f t="shared" si="0"/>
        <v>0</v>
      </c>
      <c r="H28" s="23">
        <f t="shared" si="0"/>
        <v>271.20000000000005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116.8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585.64102564102564</v>
      </c>
      <c r="E29" s="26">
        <f t="shared" si="1"/>
        <v>0</v>
      </c>
      <c r="F29" s="25">
        <f t="shared" si="1"/>
        <v>380.5128205128205</v>
      </c>
      <c r="G29" s="26">
        <f t="shared" si="1"/>
        <v>0</v>
      </c>
      <c r="H29" s="25">
        <f t="shared" si="1"/>
        <v>347.69230769230774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149.74358974358972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456.8</v>
      </c>
      <c r="E42" s="128">
        <f t="shared" ref="E42:O42" si="6">SUM($D$16,E28,E38)</f>
        <v>0</v>
      </c>
      <c r="F42" s="32">
        <f t="shared" si="6"/>
        <v>296.8</v>
      </c>
      <c r="G42" s="32">
        <f t="shared" si="6"/>
        <v>0</v>
      </c>
      <c r="H42" s="32">
        <f t="shared" si="6"/>
        <v>271.20000000000005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116.8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589</v>
      </c>
      <c r="E59" s="136" t="s">
        <v>81</v>
      </c>
      <c r="F59" s="136">
        <f t="shared" ref="F59:L59" si="12">(MROUND(SUM($D$15,F29,F38,F51)+5,10)-1)</f>
        <v>389</v>
      </c>
      <c r="G59" s="136" t="s">
        <v>81</v>
      </c>
      <c r="H59" s="136">
        <f t="shared" si="12"/>
        <v>349</v>
      </c>
      <c r="I59" s="136" t="s">
        <v>81</v>
      </c>
      <c r="J59" s="136" t="s">
        <v>81</v>
      </c>
      <c r="K59" s="137" t="s">
        <v>81</v>
      </c>
      <c r="L59" s="136">
        <f t="shared" si="12"/>
        <v>149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0.22573555166374779</v>
      </c>
      <c r="E63" s="36" t="e">
        <f t="shared" si="14"/>
        <v>#VALUE!</v>
      </c>
      <c r="F63" s="36">
        <f t="shared" si="14"/>
        <v>0.24230458221024256</v>
      </c>
      <c r="G63" s="36" t="e">
        <f t="shared" si="14"/>
        <v>#VALUE!</v>
      </c>
      <c r="H63" s="36">
        <f t="shared" si="14"/>
        <v>0.22376106194690248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0.21503424657534251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132.19999999999999</v>
      </c>
      <c r="E64" s="34" t="e">
        <f>E59-E42</f>
        <v>#VALUE!</v>
      </c>
      <c r="F64" s="34">
        <f t="shared" si="15"/>
        <v>92.199999999999989</v>
      </c>
      <c r="G64" s="34" t="e">
        <f t="shared" si="15"/>
        <v>#VALUE!</v>
      </c>
      <c r="H64" s="34">
        <f t="shared" si="15"/>
        <v>77.799999999999955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32.200000000000003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58.564102564102569</v>
      </c>
      <c r="E68" s="42">
        <f t="shared" ref="E68:O68" si="17">E29*$C$68</f>
        <v>0</v>
      </c>
      <c r="F68" s="41">
        <f t="shared" si="17"/>
        <v>38.051282051282051</v>
      </c>
      <c r="G68" s="42">
        <f t="shared" si="17"/>
        <v>0</v>
      </c>
      <c r="H68" s="41">
        <f t="shared" si="17"/>
        <v>34.769230769230774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14.974358974358973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70.276923076923069</v>
      </c>
      <c r="E69" s="46">
        <f>E29*$C$69</f>
        <v>0</v>
      </c>
      <c r="F69" s="41">
        <f>$F$29*$C$69</f>
        <v>45.661538461538456</v>
      </c>
      <c r="G69" s="46">
        <f>G29*$C$69</f>
        <v>0</v>
      </c>
      <c r="H69" s="41">
        <f>$H$29*$C$69</f>
        <v>41.723076923076924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17.969230769230766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87.84615384615384</v>
      </c>
      <c r="E70" s="46">
        <f>E29*$C$70</f>
        <v>0</v>
      </c>
      <c r="F70" s="41">
        <f>$F$29*$C$70</f>
        <v>57.076923076923073</v>
      </c>
      <c r="G70" s="46">
        <f>G29*$C$70</f>
        <v>0</v>
      </c>
      <c r="H70" s="41">
        <f>$H$29*$C$70</f>
        <v>52.15384615384616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22.461538461538456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99.558974358974368</v>
      </c>
      <c r="E71" s="49">
        <f>E29*$C$71</f>
        <v>0</v>
      </c>
      <c r="F71" s="32">
        <f>$F$29*$C$71</f>
        <v>64.687179487179492</v>
      </c>
      <c r="G71" s="49">
        <f>G29*$C$71</f>
        <v>0</v>
      </c>
      <c r="H71" s="32">
        <f>$H$29*$C$71</f>
        <v>59.107692307692318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25.456410256410255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0.12501850158895997</v>
      </c>
      <c r="E75" s="53" t="e">
        <f t="shared" si="20"/>
        <v>#VALUE!</v>
      </c>
      <c r="F75" s="53">
        <f t="shared" si="20"/>
        <v>0.13919978907125433</v>
      </c>
      <c r="G75" s="53" t="e">
        <f t="shared" si="20"/>
        <v>#VALUE!</v>
      </c>
      <c r="H75" s="53">
        <f t="shared" si="20"/>
        <v>0.12329733303945324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0.11560832903114787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73.635897435897419</v>
      </c>
      <c r="E76" s="54" t="e">
        <f t="shared" si="21"/>
        <v>#VALUE!</v>
      </c>
      <c r="F76" s="54">
        <f t="shared" si="21"/>
        <v>54.148717948717938</v>
      </c>
      <c r="G76" s="54" t="e">
        <f t="shared" si="21"/>
        <v>#VALUE!</v>
      </c>
      <c r="H76" s="54">
        <f t="shared" si="21"/>
        <v>43.030769230769181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17.225641025641032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0.10513255844325453</v>
      </c>
      <c r="E77" s="53" t="e">
        <f>E78/E59</f>
        <v>#VALUE!</v>
      </c>
      <c r="F77" s="53">
        <f t="shared" si="22"/>
        <v>0.11963614791378287</v>
      </c>
      <c r="G77" s="53" t="e">
        <f>G78/G59</f>
        <v>#VALUE!</v>
      </c>
      <c r="H77" s="53">
        <f t="shared" si="22"/>
        <v>0.10337227242671355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9.5508518327310318E-2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61.92307692307692</v>
      </c>
      <c r="E78" s="54" t="e">
        <f>E64-E69</f>
        <v>#VALUE!</v>
      </c>
      <c r="F78" s="54">
        <f t="shared" si="23"/>
        <v>46.538461538461533</v>
      </c>
      <c r="G78" s="54" t="e">
        <f>G64-G69</f>
        <v>#VALUE!</v>
      </c>
      <c r="H78" s="54">
        <f t="shared" si="23"/>
        <v>36.07692307692303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14.230769230769237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7.5303643724696348E-2</v>
      </c>
      <c r="E79" s="53" t="e">
        <f t="shared" si="24"/>
        <v>#VALUE!</v>
      </c>
      <c r="F79" s="53">
        <f t="shared" si="24"/>
        <v>9.0290686177575616E-2</v>
      </c>
      <c r="G79" s="53" t="e">
        <f t="shared" si="24"/>
        <v>#VALUE!</v>
      </c>
      <c r="H79" s="53">
        <f t="shared" si="24"/>
        <v>7.3484681507603997E-2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6.5358802271554009E-2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44.353846153846149</v>
      </c>
      <c r="E80" s="54" t="e">
        <f t="shared" si="25"/>
        <v>#VALUE!</v>
      </c>
      <c r="F80" s="54">
        <f t="shared" si="25"/>
        <v>35.123076923076916</v>
      </c>
      <c r="G80" s="54" t="e">
        <f t="shared" si="25"/>
        <v>#VALUE!</v>
      </c>
      <c r="H80" s="54">
        <f t="shared" si="25"/>
        <v>25.646153846153794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9.7384615384615465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5.5417700578990869E-2</v>
      </c>
      <c r="E81" s="53" t="e">
        <f t="shared" si="26"/>
        <v>#VALUE!</v>
      </c>
      <c r="F81" s="53">
        <f t="shared" si="26"/>
        <v>7.0727045020104101E-2</v>
      </c>
      <c r="G81" s="53" t="e">
        <f t="shared" si="26"/>
        <v>#VALUE!</v>
      </c>
      <c r="H81" s="53">
        <f t="shared" si="26"/>
        <v>5.3559620894864289E-2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4.5258991567716428E-2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32.641025641025621</v>
      </c>
      <c r="E82" s="35" t="e">
        <f t="shared" si="27"/>
        <v>#VALUE!</v>
      </c>
      <c r="F82" s="35">
        <f t="shared" si="27"/>
        <v>27.512820512820497</v>
      </c>
      <c r="G82" s="35" t="e">
        <f t="shared" si="27"/>
        <v>#VALUE!</v>
      </c>
      <c r="H82" s="35">
        <f t="shared" si="27"/>
        <v>18.692307692307637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6.7435897435897481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0.10126498628705757</v>
      </c>
      <c r="E86" s="53" t="e">
        <f t="shared" si="30"/>
        <v>#VALUE!</v>
      </c>
      <c r="F86" s="57">
        <f t="shared" si="30"/>
        <v>0.11275182914771602</v>
      </c>
      <c r="G86" s="53" t="e">
        <f t="shared" si="30"/>
        <v>#VALUE!</v>
      </c>
      <c r="H86" s="57">
        <f t="shared" si="30"/>
        <v>9.9870839761957125E-2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9.3642746515229761E-2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59.645076923076914</v>
      </c>
      <c r="E87" s="54" t="e">
        <f t="shared" si="31"/>
        <v>#VALUE!</v>
      </c>
      <c r="F87" s="58">
        <f t="shared" si="31"/>
        <v>43.860461538461529</v>
      </c>
      <c r="G87" s="54" t="e">
        <f t="shared" si="31"/>
        <v>#VALUE!</v>
      </c>
      <c r="H87" s="58">
        <f t="shared" si="31"/>
        <v>34.854923076923036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13.952769230769235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8.5157372339036169E-2</v>
      </c>
      <c r="E88" s="53" t="e">
        <f t="shared" si="32"/>
        <v>#VALUE!</v>
      </c>
      <c r="F88" s="57">
        <f t="shared" si="32"/>
        <v>9.6905279810164113E-2</v>
      </c>
      <c r="G88" s="53" t="e">
        <f t="shared" si="32"/>
        <v>#VALUE!</v>
      </c>
      <c r="H88" s="57">
        <f t="shared" si="32"/>
        <v>8.3731540665637982E-2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7.736189984512136E-2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50.157692307692301</v>
      </c>
      <c r="E89" s="54" t="e">
        <f t="shared" si="33"/>
        <v>#VALUE!</v>
      </c>
      <c r="F89" s="58">
        <f t="shared" si="33"/>
        <v>37.696153846153841</v>
      </c>
      <c r="G89" s="54" t="e">
        <f t="shared" si="33"/>
        <v>#VALUE!</v>
      </c>
      <c r="H89" s="58">
        <f t="shared" si="33"/>
        <v>29.222307692307655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11.526923076923083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6.0995951417004042E-2</v>
      </c>
      <c r="E90" s="53" t="e">
        <f t="shared" ref="E90:O90" si="34">E91/E59</f>
        <v>#VALUE!</v>
      </c>
      <c r="F90" s="57">
        <f t="shared" si="34"/>
        <v>7.313545580383625E-2</v>
      </c>
      <c r="G90" s="53" t="e">
        <f t="shared" si="34"/>
        <v>#VALUE!</v>
      </c>
      <c r="H90" s="57">
        <f t="shared" si="34"/>
        <v>5.9522592021159233E-2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5.2940629839958744E-2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35.926615384615381</v>
      </c>
      <c r="E91" s="54" t="e">
        <f t="shared" si="35"/>
        <v>#VALUE!</v>
      </c>
      <c r="F91" s="58">
        <f t="shared" si="35"/>
        <v>28.449692307692303</v>
      </c>
      <c r="G91" s="54" t="e">
        <f t="shared" si="35"/>
        <v>#VALUE!</v>
      </c>
      <c r="H91" s="58">
        <f t="shared" si="35"/>
        <v>20.773384615384572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7.8881538461538527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4.4888337468982603E-2</v>
      </c>
      <c r="E92" s="53" t="e">
        <f t="shared" si="36"/>
        <v>#VALUE!</v>
      </c>
      <c r="F92" s="57">
        <f t="shared" si="36"/>
        <v>5.7288906466284317E-2</v>
      </c>
      <c r="G92" s="53" t="e">
        <f t="shared" si="36"/>
        <v>#VALUE!</v>
      </c>
      <c r="H92" s="57">
        <f t="shared" si="36"/>
        <v>4.3383292924840076E-2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3.6659783169850309E-2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26.439230769230754</v>
      </c>
      <c r="E93" s="35" t="e">
        <f t="shared" si="37"/>
        <v>#VALUE!</v>
      </c>
      <c r="F93" s="33">
        <f t="shared" si="37"/>
        <v>22.285384615384601</v>
      </c>
      <c r="G93" s="35" t="e">
        <f t="shared" si="37"/>
        <v>#VALUE!</v>
      </c>
      <c r="H93" s="33">
        <f t="shared" si="37"/>
        <v>15.140769230769186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5.4623076923076956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7B49-8FAD-4517-8EF5-AD23F4D1C06D}">
  <sheetPr>
    <outlinePr summaryBelow="0" summaryRight="0"/>
  </sheetPr>
  <dimension ref="A1:Z993"/>
  <sheetViews>
    <sheetView showGridLines="0" topLeftCell="D41" zoomScaleNormal="100" workbookViewId="0">
      <selection activeCell="L59" sqref="L5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104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640*0.8</f>
        <v>512</v>
      </c>
      <c r="E21" s="141"/>
      <c r="F21" s="142">
        <f>370*0.8</f>
        <v>296</v>
      </c>
      <c r="G21" s="141"/>
      <c r="H21" s="142">
        <f>330*0.8</f>
        <v>264</v>
      </c>
      <c r="I21" s="140"/>
      <c r="J21" s="142"/>
      <c r="K21" s="145"/>
      <c r="L21" s="142">
        <f>150*0.8</f>
        <v>120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520.79999999999995</v>
      </c>
      <c r="E28" s="24">
        <f t="shared" si="0"/>
        <v>0</v>
      </c>
      <c r="F28" s="23">
        <f t="shared" si="0"/>
        <v>304.8</v>
      </c>
      <c r="G28" s="24">
        <f t="shared" si="0"/>
        <v>0</v>
      </c>
      <c r="H28" s="23">
        <f t="shared" si="0"/>
        <v>272.8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128.80000000000001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667.69230769230762</v>
      </c>
      <c r="E29" s="26">
        <f t="shared" si="1"/>
        <v>0</v>
      </c>
      <c r="F29" s="25">
        <f t="shared" si="1"/>
        <v>390.76923076923077</v>
      </c>
      <c r="G29" s="26">
        <f t="shared" si="1"/>
        <v>0</v>
      </c>
      <c r="H29" s="25">
        <f t="shared" si="1"/>
        <v>349.74358974358972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165.12820512820514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520.79999999999995</v>
      </c>
      <c r="E42" s="128">
        <f t="shared" ref="E42:O42" si="6">SUM($D$16,E28,E38)</f>
        <v>0</v>
      </c>
      <c r="F42" s="32">
        <f t="shared" si="6"/>
        <v>304.8</v>
      </c>
      <c r="G42" s="32">
        <f t="shared" si="6"/>
        <v>0</v>
      </c>
      <c r="H42" s="32">
        <f t="shared" si="6"/>
        <v>272.8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128.80000000000001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669</v>
      </c>
      <c r="E59" s="136" t="s">
        <v>81</v>
      </c>
      <c r="F59" s="136">
        <f t="shared" ref="F59:L59" si="12">(MROUND(SUM($D$15,F29,F38,F51)+5,10)-1)</f>
        <v>399</v>
      </c>
      <c r="G59" s="136" t="s">
        <v>81</v>
      </c>
      <c r="H59" s="136">
        <f t="shared" si="12"/>
        <v>349</v>
      </c>
      <c r="I59" s="136" t="s">
        <v>81</v>
      </c>
      <c r="J59" s="136" t="s">
        <v>81</v>
      </c>
      <c r="K59" s="137" t="s">
        <v>81</v>
      </c>
      <c r="L59" s="136">
        <f t="shared" si="12"/>
        <v>169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0.22195852534562222</v>
      </c>
      <c r="E63" s="36" t="e">
        <f t="shared" si="14"/>
        <v>#VALUE!</v>
      </c>
      <c r="F63" s="36">
        <f t="shared" si="14"/>
        <v>0.24106299212598423</v>
      </c>
      <c r="G63" s="36" t="e">
        <f t="shared" si="14"/>
        <v>#VALUE!</v>
      </c>
      <c r="H63" s="36">
        <f t="shared" si="14"/>
        <v>0.21787390029325512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0.24344720496894401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148.20000000000005</v>
      </c>
      <c r="E64" s="34" t="e">
        <f>E59-E42</f>
        <v>#VALUE!</v>
      </c>
      <c r="F64" s="34">
        <f t="shared" si="15"/>
        <v>94.199999999999989</v>
      </c>
      <c r="G64" s="34" t="e">
        <f t="shared" si="15"/>
        <v>#VALUE!</v>
      </c>
      <c r="H64" s="34">
        <f t="shared" si="15"/>
        <v>76.199999999999989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40.199999999999989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66.769230769230759</v>
      </c>
      <c r="E68" s="42">
        <f t="shared" ref="E68:O68" si="17">E29*$C$68</f>
        <v>0</v>
      </c>
      <c r="F68" s="41">
        <f t="shared" si="17"/>
        <v>39.07692307692308</v>
      </c>
      <c r="G68" s="42">
        <f t="shared" si="17"/>
        <v>0</v>
      </c>
      <c r="H68" s="41">
        <f t="shared" si="17"/>
        <v>34.974358974358971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16.512820512820515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80.123076923076908</v>
      </c>
      <c r="E69" s="46">
        <f>E29*$C$69</f>
        <v>0</v>
      </c>
      <c r="F69" s="41">
        <f>$F$29*$C$69</f>
        <v>46.892307692307689</v>
      </c>
      <c r="G69" s="46">
        <f>G29*$C$69</f>
        <v>0</v>
      </c>
      <c r="H69" s="41">
        <f>$H$29*$C$69</f>
        <v>41.969230769230762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19.815384615384616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100.15384615384615</v>
      </c>
      <c r="E70" s="46">
        <f>E29*$C$70</f>
        <v>0</v>
      </c>
      <c r="F70" s="41">
        <f>$F$29*$C$70</f>
        <v>58.615384615384613</v>
      </c>
      <c r="G70" s="46">
        <f>G29*$C$70</f>
        <v>0</v>
      </c>
      <c r="H70" s="41">
        <f>$H$29*$C$70</f>
        <v>52.46153846153846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24.76923076923077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113.50769230769231</v>
      </c>
      <c r="E71" s="49">
        <f>E29*$C$71</f>
        <v>0</v>
      </c>
      <c r="F71" s="32">
        <f>$F$29*$C$71</f>
        <v>66.430769230769229</v>
      </c>
      <c r="G71" s="49">
        <f>G29*$C$71</f>
        <v>0</v>
      </c>
      <c r="H71" s="32">
        <f>$H$29*$C$71</f>
        <v>59.456410256410258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28.071794871794875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0.12172013337932629</v>
      </c>
      <c r="E75" s="53" t="e">
        <f t="shared" si="20"/>
        <v>#VALUE!</v>
      </c>
      <c r="F75" s="53">
        <f t="shared" si="20"/>
        <v>0.13815307499518023</v>
      </c>
      <c r="G75" s="53" t="e">
        <f t="shared" si="20"/>
        <v>#VALUE!</v>
      </c>
      <c r="H75" s="53">
        <f t="shared" si="20"/>
        <v>0.11812504591874218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0.14016082536792587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81.430769230769286</v>
      </c>
      <c r="E76" s="54" t="e">
        <f t="shared" si="21"/>
        <v>#VALUE!</v>
      </c>
      <c r="F76" s="54">
        <f t="shared" si="21"/>
        <v>55.123076923076908</v>
      </c>
      <c r="G76" s="54" t="e">
        <f t="shared" si="21"/>
        <v>#VALUE!</v>
      </c>
      <c r="H76" s="54">
        <f t="shared" si="21"/>
        <v>41.225641025641018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23.687179487179474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0.10175922731976553</v>
      </c>
      <c r="E77" s="53" t="e">
        <f>E78/E59</f>
        <v>#VALUE!</v>
      </c>
      <c r="F77" s="53">
        <f t="shared" si="22"/>
        <v>0.11856564488143434</v>
      </c>
      <c r="G77" s="53" t="e">
        <f>G78/G59</f>
        <v>#VALUE!</v>
      </c>
      <c r="H77" s="53">
        <f t="shared" si="22"/>
        <v>9.8082433325986318E-2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0.12061902594446966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68.076923076923137</v>
      </c>
      <c r="E78" s="54" t="e">
        <f>E64-E69</f>
        <v>#VALUE!</v>
      </c>
      <c r="F78" s="54">
        <f t="shared" si="23"/>
        <v>47.307692307692299</v>
      </c>
      <c r="G78" s="54" t="e">
        <f>G64-G69</f>
        <v>#VALUE!</v>
      </c>
      <c r="H78" s="54">
        <f t="shared" si="23"/>
        <v>34.230769230769226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20.384615384615373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7.1817868230424367E-2</v>
      </c>
      <c r="E79" s="53" t="e">
        <f t="shared" si="24"/>
        <v>#VALUE!</v>
      </c>
      <c r="F79" s="53">
        <f t="shared" si="24"/>
        <v>8.9184499710815476E-2</v>
      </c>
      <c r="G79" s="53" t="e">
        <f t="shared" si="24"/>
        <v>#VALUE!</v>
      </c>
      <c r="H79" s="53">
        <f t="shared" si="24"/>
        <v>6.8018514436852515E-2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9.1306326809285313E-2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48.046153846153899</v>
      </c>
      <c r="E80" s="54" t="e">
        <f t="shared" si="25"/>
        <v>#VALUE!</v>
      </c>
      <c r="F80" s="54">
        <f t="shared" si="25"/>
        <v>35.584615384615375</v>
      </c>
      <c r="G80" s="54" t="e">
        <f t="shared" si="25"/>
        <v>#VALUE!</v>
      </c>
      <c r="H80" s="54">
        <f t="shared" si="25"/>
        <v>23.738461538461529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15.430769230769219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5.185696217086358E-2</v>
      </c>
      <c r="E81" s="53" t="e">
        <f t="shared" si="26"/>
        <v>#VALUE!</v>
      </c>
      <c r="F81" s="53">
        <f t="shared" si="26"/>
        <v>6.9597069597069572E-2</v>
      </c>
      <c r="G81" s="53" t="e">
        <f t="shared" si="26"/>
        <v>#VALUE!</v>
      </c>
      <c r="H81" s="53">
        <f t="shared" si="26"/>
        <v>4.7975901844096648E-2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7.1764527385829072E-2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34.692307692307736</v>
      </c>
      <c r="E82" s="35" t="e">
        <f t="shared" si="27"/>
        <v>#VALUE!</v>
      </c>
      <c r="F82" s="35">
        <f t="shared" si="27"/>
        <v>27.769230769230759</v>
      </c>
      <c r="G82" s="35" t="e">
        <f t="shared" si="27"/>
        <v>#VALUE!</v>
      </c>
      <c r="H82" s="35">
        <f t="shared" si="27"/>
        <v>16.74358974358973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12.128205128205114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9.8593308037254301E-2</v>
      </c>
      <c r="E86" s="53" t="e">
        <f t="shared" si="30"/>
        <v>#VALUE!</v>
      </c>
      <c r="F86" s="57">
        <f t="shared" si="30"/>
        <v>0.11190399074609599</v>
      </c>
      <c r="G86" s="53" t="e">
        <f t="shared" si="30"/>
        <v>#VALUE!</v>
      </c>
      <c r="H86" s="57">
        <f t="shared" si="30"/>
        <v>9.5681287194181161E-2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0.11353026854801995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65.958923076923128</v>
      </c>
      <c r="E87" s="54" t="e">
        <f t="shared" si="31"/>
        <v>#VALUE!</v>
      </c>
      <c r="F87" s="58">
        <f t="shared" si="31"/>
        <v>44.649692307692298</v>
      </c>
      <c r="G87" s="54" t="e">
        <f t="shared" si="31"/>
        <v>#VALUE!</v>
      </c>
      <c r="H87" s="58">
        <f t="shared" si="31"/>
        <v>33.392769230769225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19.186615384615372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8.2424974129010078E-2</v>
      </c>
      <c r="E88" s="53" t="e">
        <f t="shared" si="32"/>
        <v>#VALUE!</v>
      </c>
      <c r="F88" s="57">
        <f t="shared" si="32"/>
        <v>9.6038172353961809E-2</v>
      </c>
      <c r="G88" s="53" t="e">
        <f t="shared" si="32"/>
        <v>#VALUE!</v>
      </c>
      <c r="H88" s="57">
        <f t="shared" si="32"/>
        <v>7.9446770994048913E-2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9.7701411015020417E-2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55.142307692307739</v>
      </c>
      <c r="E89" s="54" t="e">
        <f t="shared" si="33"/>
        <v>#VALUE!</v>
      </c>
      <c r="F89" s="58">
        <f t="shared" si="33"/>
        <v>38.319230769230764</v>
      </c>
      <c r="G89" s="54" t="e">
        <f t="shared" si="33"/>
        <v>#VALUE!</v>
      </c>
      <c r="H89" s="58">
        <f t="shared" si="33"/>
        <v>27.726923076923072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16.51153846153845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5.8172473266643744E-2</v>
      </c>
      <c r="E90" s="53" t="e">
        <f t="shared" ref="E90:O90" si="34">E91/E59</f>
        <v>#VALUE!</v>
      </c>
      <c r="F90" s="57">
        <f t="shared" si="34"/>
        <v>7.2239444765760538E-2</v>
      </c>
      <c r="G90" s="53" t="e">
        <f t="shared" si="34"/>
        <v>#VALUE!</v>
      </c>
      <c r="H90" s="57">
        <f t="shared" si="34"/>
        <v>5.509499669385054E-2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7.3958124715521101E-2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38.917384615384663</v>
      </c>
      <c r="E91" s="54" t="e">
        <f t="shared" si="35"/>
        <v>#VALUE!</v>
      </c>
      <c r="F91" s="58">
        <f t="shared" si="35"/>
        <v>28.823538461538455</v>
      </c>
      <c r="G91" s="54" t="e">
        <f t="shared" si="35"/>
        <v>#VALUE!</v>
      </c>
      <c r="H91" s="58">
        <f t="shared" si="35"/>
        <v>19.228153846153837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12.498923076923067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4.20041393583995E-2</v>
      </c>
      <c r="E92" s="53" t="e">
        <f t="shared" si="36"/>
        <v>#VALUE!</v>
      </c>
      <c r="F92" s="57">
        <f t="shared" si="36"/>
        <v>5.6373626373626348E-2</v>
      </c>
      <c r="G92" s="53" t="e">
        <f t="shared" si="36"/>
        <v>#VALUE!</v>
      </c>
      <c r="H92" s="57">
        <f t="shared" si="36"/>
        <v>3.8860480493718284E-2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5.8129267182521552E-2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28.100769230769266</v>
      </c>
      <c r="E93" s="35" t="e">
        <f t="shared" si="37"/>
        <v>#VALUE!</v>
      </c>
      <c r="F93" s="33">
        <f t="shared" si="37"/>
        <v>22.493076923076913</v>
      </c>
      <c r="G93" s="35" t="e">
        <f t="shared" si="37"/>
        <v>#VALUE!</v>
      </c>
      <c r="H93" s="33">
        <f t="shared" si="37"/>
        <v>13.562307692307682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9.8238461538461426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A63E-E658-4114-82D5-1F039E0E396D}">
  <sheetPr>
    <outlinePr summaryBelow="0" summaryRight="0"/>
  </sheetPr>
  <dimension ref="A1:Z993"/>
  <sheetViews>
    <sheetView showGridLines="0" tabSelected="1" topLeftCell="D41" zoomScaleNormal="100" workbookViewId="0">
      <selection activeCell="O49" sqref="D49:O4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105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710*0.8</f>
        <v>568</v>
      </c>
      <c r="E21" s="141"/>
      <c r="F21" s="142">
        <f>438*0.8</f>
        <v>350.40000000000003</v>
      </c>
      <c r="G21" s="141"/>
      <c r="H21" s="142">
        <f>428*0.8</f>
        <v>342.40000000000003</v>
      </c>
      <c r="I21" s="140"/>
      <c r="J21" s="142"/>
      <c r="K21" s="145"/>
      <c r="L21" s="142">
        <f>150*0.8</f>
        <v>120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576.79999999999995</v>
      </c>
      <c r="E28" s="24">
        <f t="shared" si="0"/>
        <v>0</v>
      </c>
      <c r="F28" s="23">
        <f t="shared" si="0"/>
        <v>359.20000000000005</v>
      </c>
      <c r="G28" s="24">
        <f t="shared" si="0"/>
        <v>0</v>
      </c>
      <c r="H28" s="23">
        <f t="shared" si="0"/>
        <v>351.20000000000005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128.80000000000001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739.48717948717945</v>
      </c>
      <c r="E29" s="26">
        <f t="shared" si="1"/>
        <v>0</v>
      </c>
      <c r="F29" s="25">
        <f t="shared" si="1"/>
        <v>460.51282051282055</v>
      </c>
      <c r="G29" s="26">
        <f t="shared" si="1"/>
        <v>0</v>
      </c>
      <c r="H29" s="25">
        <f t="shared" si="1"/>
        <v>450.25641025641028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165.12820512820514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576.79999999999995</v>
      </c>
      <c r="E42" s="128">
        <f t="shared" ref="E42:O42" si="6">SUM($D$16,E28,E38)</f>
        <v>0</v>
      </c>
      <c r="F42" s="32">
        <f t="shared" si="6"/>
        <v>359.20000000000005</v>
      </c>
      <c r="G42" s="32">
        <f t="shared" si="6"/>
        <v>0</v>
      </c>
      <c r="H42" s="32">
        <f t="shared" si="6"/>
        <v>351.20000000000005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128.80000000000001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739</v>
      </c>
      <c r="E59" s="136" t="s">
        <v>81</v>
      </c>
      <c r="F59" s="136">
        <f t="shared" ref="F59:L59" si="12">(MROUND(SUM($D$15,F29,F38,F51)+5,10)-1)</f>
        <v>469</v>
      </c>
      <c r="G59" s="136" t="s">
        <v>81</v>
      </c>
      <c r="H59" s="136">
        <f t="shared" si="12"/>
        <v>459</v>
      </c>
      <c r="I59" s="136" t="s">
        <v>81</v>
      </c>
      <c r="J59" s="136" t="s">
        <v>81</v>
      </c>
      <c r="K59" s="137" t="s">
        <v>81</v>
      </c>
      <c r="L59" s="136">
        <f t="shared" si="12"/>
        <v>169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0.21934119278779479</v>
      </c>
      <c r="E63" s="36" t="e">
        <f t="shared" si="14"/>
        <v>#VALUE!</v>
      </c>
      <c r="F63" s="36">
        <f t="shared" si="14"/>
        <v>0.23842984409799542</v>
      </c>
      <c r="G63" s="36" t="e">
        <f t="shared" si="14"/>
        <v>#VALUE!</v>
      </c>
      <c r="H63" s="36">
        <f t="shared" si="14"/>
        <v>0.23941913439635523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0.24344720496894401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162.20000000000005</v>
      </c>
      <c r="E64" s="34" t="e">
        <f>E59-E42</f>
        <v>#VALUE!</v>
      </c>
      <c r="F64" s="34">
        <f t="shared" si="15"/>
        <v>109.79999999999995</v>
      </c>
      <c r="G64" s="34" t="e">
        <f t="shared" si="15"/>
        <v>#VALUE!</v>
      </c>
      <c r="H64" s="34">
        <f t="shared" si="15"/>
        <v>107.79999999999995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40.199999999999989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73.948717948717942</v>
      </c>
      <c r="E68" s="42">
        <f t="shared" ref="E68:O68" si="17">E29*$C$68</f>
        <v>0</v>
      </c>
      <c r="F68" s="41">
        <f t="shared" si="17"/>
        <v>46.051282051282058</v>
      </c>
      <c r="G68" s="42">
        <f t="shared" si="17"/>
        <v>0</v>
      </c>
      <c r="H68" s="41">
        <f t="shared" si="17"/>
        <v>45.025641025641029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16.512820512820515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88.738461538461536</v>
      </c>
      <c r="E69" s="46">
        <f>E29*$C$69</f>
        <v>0</v>
      </c>
      <c r="F69" s="41">
        <f>$F$29*$C$69</f>
        <v>55.261538461538464</v>
      </c>
      <c r="G69" s="46">
        <f>G29*$C$69</f>
        <v>0</v>
      </c>
      <c r="H69" s="41">
        <f>$H$29*$C$69</f>
        <v>54.030769230769231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19.815384615384616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110.92307692307692</v>
      </c>
      <c r="E70" s="46">
        <f>E29*$C$70</f>
        <v>0</v>
      </c>
      <c r="F70" s="41">
        <f>$F$29*$C$70</f>
        <v>69.07692307692308</v>
      </c>
      <c r="G70" s="46">
        <f>G29*$C$70</f>
        <v>0</v>
      </c>
      <c r="H70" s="41">
        <f>$H$29*$C$70</f>
        <v>67.538461538461533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24.76923076923077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125.71282051282051</v>
      </c>
      <c r="E71" s="49">
        <f>E29*$C$71</f>
        <v>0</v>
      </c>
      <c r="F71" s="32">
        <f>$F$29*$C$71</f>
        <v>78.2871794871795</v>
      </c>
      <c r="G71" s="49">
        <f>G29*$C$71</f>
        <v>0</v>
      </c>
      <c r="H71" s="32">
        <f>$H$29*$C$71</f>
        <v>76.543589743589749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28.071794871794875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0.11941986745775657</v>
      </c>
      <c r="E75" s="53" t="e">
        <f t="shared" si="20"/>
        <v>#VALUE!</v>
      </c>
      <c r="F75" s="53">
        <f t="shared" si="20"/>
        <v>0.13592477174566717</v>
      </c>
      <c r="G75" s="53" t="e">
        <f t="shared" si="20"/>
        <v>#VALUE!</v>
      </c>
      <c r="H75" s="53">
        <f t="shared" si="20"/>
        <v>0.1367633093123288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0.14016082536792587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88.251282051282104</v>
      </c>
      <c r="E76" s="54" t="e">
        <f t="shared" si="21"/>
        <v>#VALUE!</v>
      </c>
      <c r="F76" s="54">
        <f t="shared" si="21"/>
        <v>63.748717948717896</v>
      </c>
      <c r="G76" s="54" t="e">
        <f t="shared" si="21"/>
        <v>#VALUE!</v>
      </c>
      <c r="H76" s="54">
        <f t="shared" si="21"/>
        <v>62.774358974358925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23.687179487179474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9.9406682627251025E-2</v>
      </c>
      <c r="E77" s="53" t="e">
        <f>E78/E59</f>
        <v>#VALUE!</v>
      </c>
      <c r="F77" s="53">
        <f t="shared" si="22"/>
        <v>0.11628669837625051</v>
      </c>
      <c r="G77" s="53" t="e">
        <f>G78/G59</f>
        <v>#VALUE!</v>
      </c>
      <c r="H77" s="53">
        <f t="shared" si="22"/>
        <v>0.11714429361488175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0.12061902594446966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73.46153846153851</v>
      </c>
      <c r="E78" s="54" t="e">
        <f>E64-E69</f>
        <v>#VALUE!</v>
      </c>
      <c r="F78" s="54">
        <f t="shared" si="23"/>
        <v>54.53846153846149</v>
      </c>
      <c r="G78" s="54" t="e">
        <f>G64-G69</f>
        <v>#VALUE!</v>
      </c>
      <c r="H78" s="54">
        <f t="shared" si="23"/>
        <v>53.769230769230724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20.384615384615373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6.9386905381492725E-2</v>
      </c>
      <c r="E79" s="53" t="e">
        <f t="shared" si="24"/>
        <v>#VALUE!</v>
      </c>
      <c r="F79" s="53">
        <f t="shared" si="24"/>
        <v>8.6829588322125534E-2</v>
      </c>
      <c r="G79" s="53" t="e">
        <f t="shared" si="24"/>
        <v>#VALUE!</v>
      </c>
      <c r="H79" s="53">
        <f t="shared" si="24"/>
        <v>8.771577006871116E-2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9.1306326809285313E-2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51.276923076923126</v>
      </c>
      <c r="E80" s="54" t="e">
        <f t="shared" si="25"/>
        <v>#VALUE!</v>
      </c>
      <c r="F80" s="54">
        <f t="shared" si="25"/>
        <v>40.723076923076874</v>
      </c>
      <c r="G80" s="54" t="e">
        <f t="shared" si="25"/>
        <v>#VALUE!</v>
      </c>
      <c r="H80" s="54">
        <f t="shared" si="25"/>
        <v>40.261538461538422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15.430769230769219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4.9373720550987189E-2</v>
      </c>
      <c r="E81" s="53" t="e">
        <f t="shared" si="26"/>
        <v>#VALUE!</v>
      </c>
      <c r="F81" s="53">
        <f t="shared" si="26"/>
        <v>6.7191514952708864E-2</v>
      </c>
      <c r="G81" s="53" t="e">
        <f t="shared" si="26"/>
        <v>#VALUE!</v>
      </c>
      <c r="H81" s="53">
        <f t="shared" si="26"/>
        <v>6.809675437126407E-2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7.1764527385829072E-2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36.487179487179532</v>
      </c>
      <c r="E82" s="35" t="e">
        <f t="shared" si="27"/>
        <v>#VALUE!</v>
      </c>
      <c r="F82" s="35">
        <f t="shared" si="27"/>
        <v>31.512820512820454</v>
      </c>
      <c r="G82" s="35" t="e">
        <f t="shared" si="27"/>
        <v>#VALUE!</v>
      </c>
      <c r="H82" s="35">
        <f t="shared" si="27"/>
        <v>31.256410256410206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12.128205128205114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9.6730092640782819E-2</v>
      </c>
      <c r="E86" s="53" t="e">
        <f t="shared" si="30"/>
        <v>#VALUE!</v>
      </c>
      <c r="F86" s="57">
        <f t="shared" si="30"/>
        <v>0.1100990651139904</v>
      </c>
      <c r="G86" s="53" t="e">
        <f t="shared" si="30"/>
        <v>#VALUE!</v>
      </c>
      <c r="H86" s="57">
        <f t="shared" si="30"/>
        <v>0.11077828054298633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0.11353026854801995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71.483538461538501</v>
      </c>
      <c r="E87" s="54" t="e">
        <f t="shared" si="31"/>
        <v>#VALUE!</v>
      </c>
      <c r="F87" s="58">
        <f t="shared" si="31"/>
        <v>51.636461538461496</v>
      </c>
      <c r="G87" s="54" t="e">
        <f t="shared" si="31"/>
        <v>#VALUE!</v>
      </c>
      <c r="H87" s="58">
        <f t="shared" si="31"/>
        <v>50.847230769230727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19.186615384615372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8.0519412928073325E-2</v>
      </c>
      <c r="E88" s="53" t="e">
        <f t="shared" si="32"/>
        <v>#VALUE!</v>
      </c>
      <c r="F88" s="57">
        <f t="shared" si="32"/>
        <v>9.4192225684762917E-2</v>
      </c>
      <c r="G88" s="53" t="e">
        <f t="shared" si="32"/>
        <v>#VALUE!</v>
      </c>
      <c r="H88" s="57">
        <f t="shared" si="32"/>
        <v>9.4886877828054217E-2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9.7701411015020417E-2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59.50384615384619</v>
      </c>
      <c r="E89" s="54" t="e">
        <f t="shared" si="33"/>
        <v>#VALUE!</v>
      </c>
      <c r="F89" s="58">
        <f t="shared" si="33"/>
        <v>44.176153846153809</v>
      </c>
      <c r="G89" s="54" t="e">
        <f t="shared" si="33"/>
        <v>#VALUE!</v>
      </c>
      <c r="H89" s="58">
        <f t="shared" si="33"/>
        <v>43.553076923076887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16.51153846153845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5.6203393359009111E-2</v>
      </c>
      <c r="E90" s="53" t="e">
        <f t="shared" ref="E90:O90" si="34">E91/E59</f>
        <v>#VALUE!</v>
      </c>
      <c r="F90" s="57">
        <f t="shared" si="34"/>
        <v>7.0331966540921678E-2</v>
      </c>
      <c r="G90" s="53" t="e">
        <f t="shared" si="34"/>
        <v>#VALUE!</v>
      </c>
      <c r="H90" s="57">
        <f t="shared" si="34"/>
        <v>7.1049773755656048E-2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7.3958124715521101E-2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41.534307692307735</v>
      </c>
      <c r="E91" s="54" t="e">
        <f t="shared" si="35"/>
        <v>#VALUE!</v>
      </c>
      <c r="F91" s="58">
        <f t="shared" si="35"/>
        <v>32.985692307692268</v>
      </c>
      <c r="G91" s="54" t="e">
        <f t="shared" si="35"/>
        <v>#VALUE!</v>
      </c>
      <c r="H91" s="58">
        <f t="shared" si="35"/>
        <v>32.611846153846123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12.498923076923067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3.9992713646299624E-2</v>
      </c>
      <c r="E92" s="53" t="e">
        <f t="shared" si="36"/>
        <v>#VALUE!</v>
      </c>
      <c r="F92" s="57">
        <f t="shared" si="36"/>
        <v>5.4425127111694172E-2</v>
      </c>
      <c r="G92" s="53" t="e">
        <f t="shared" si="36"/>
        <v>#VALUE!</v>
      </c>
      <c r="H92" s="57">
        <f t="shared" si="36"/>
        <v>5.5158371040723887E-2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5.8129267182521552E-2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29.55461538461542</v>
      </c>
      <c r="E93" s="35" t="e">
        <f t="shared" si="37"/>
        <v>#VALUE!</v>
      </c>
      <c r="F93" s="33">
        <f t="shared" si="37"/>
        <v>25.525384615384567</v>
      </c>
      <c r="G93" s="35" t="e">
        <f t="shared" si="37"/>
        <v>#VALUE!</v>
      </c>
      <c r="H93" s="33">
        <f t="shared" si="37"/>
        <v>25.317692307692266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9.8238461538461426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69FD-90B8-4E3A-8816-069796BF65BA}">
  <sheetPr>
    <outlinePr summaryBelow="0" summaryRight="0"/>
  </sheetPr>
  <dimension ref="A1:Z993"/>
  <sheetViews>
    <sheetView showGridLines="0" topLeftCell="H40" zoomScaleNormal="100" workbookViewId="0">
      <selection activeCell="Q49" sqref="Q49"/>
    </sheetView>
  </sheetViews>
  <sheetFormatPr baseColWidth="10" defaultColWidth="12.5703125" defaultRowHeight="15" customHeight="1" outlineLevelRow="1" x14ac:dyDescent="0.2"/>
  <cols>
    <col min="1" max="1" width="24.7109375" customWidth="1"/>
    <col min="2" max="2" width="29.85546875" customWidth="1"/>
    <col min="3" max="3" width="30" customWidth="1"/>
    <col min="4" max="4" width="20.7109375" bestFit="1" customWidth="1"/>
    <col min="5" max="5" width="18.85546875" bestFit="1" customWidth="1"/>
    <col min="6" max="6" width="17.140625" customWidth="1"/>
    <col min="7" max="7" width="23" customWidth="1"/>
    <col min="8" max="8" width="14.42578125" customWidth="1"/>
    <col min="9" max="9" width="18.140625" customWidth="1"/>
    <col min="10" max="10" width="14.85546875" customWidth="1"/>
    <col min="11" max="11" width="16.140625" bestFit="1" customWidth="1"/>
    <col min="12" max="12" width="22.7109375" bestFit="1" customWidth="1"/>
    <col min="13" max="13" width="18.85546875" bestFit="1" customWidth="1"/>
    <col min="14" max="14" width="22.7109375" bestFit="1" customWidth="1"/>
    <col min="15" max="15" width="18.85546875" bestFit="1" customWidth="1"/>
  </cols>
  <sheetData>
    <row r="1" spans="1:26" ht="15.75" thickBot="1" x14ac:dyDescent="0.25">
      <c r="A1" s="166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spans="1:26" ht="16.5" customHeight="1" thickBot="1" x14ac:dyDescent="0.25">
      <c r="A2" s="169" t="e" vm="1">
        <v>#VALUE!</v>
      </c>
      <c r="B2" s="3" t="s">
        <v>1</v>
      </c>
      <c r="C2" s="102" t="s">
        <v>86</v>
      </c>
      <c r="D2" s="172" t="s">
        <v>2</v>
      </c>
      <c r="E2" s="173"/>
      <c r="F2" s="174"/>
      <c r="G2" s="4" t="s">
        <v>65</v>
      </c>
      <c r="H2" s="172" t="s">
        <v>3</v>
      </c>
      <c r="I2" s="175"/>
      <c r="J2" s="172" t="s">
        <v>4</v>
      </c>
      <c r="K2" s="173"/>
      <c r="L2" s="173"/>
      <c r="M2" s="173"/>
      <c r="N2" s="173"/>
      <c r="O2" s="176"/>
      <c r="P2" s="5"/>
      <c r="Q2" s="5"/>
      <c r="R2" s="5"/>
      <c r="S2" s="5"/>
      <c r="T2" s="6"/>
      <c r="U2" s="6"/>
      <c r="V2" s="6"/>
      <c r="W2" s="6"/>
      <c r="X2" s="6"/>
      <c r="Y2" s="6"/>
      <c r="Z2" s="6"/>
    </row>
    <row r="3" spans="1:26" ht="17.25" customHeight="1" thickTop="1" thickBot="1" x14ac:dyDescent="0.25">
      <c r="A3" s="170"/>
      <c r="B3" s="7" t="s">
        <v>5</v>
      </c>
      <c r="C3" s="138" t="s">
        <v>91</v>
      </c>
      <c r="D3" s="177" t="s">
        <v>106</v>
      </c>
      <c r="E3" s="178"/>
      <c r="F3" s="179"/>
      <c r="G3" s="104" t="s">
        <v>96</v>
      </c>
      <c r="H3" s="180" t="s">
        <v>92</v>
      </c>
      <c r="I3" s="181"/>
      <c r="J3" s="5"/>
      <c r="K3" s="5"/>
      <c r="L3" s="5"/>
      <c r="M3" s="5"/>
      <c r="N3" s="5"/>
      <c r="O3" s="71"/>
      <c r="P3" s="5"/>
      <c r="Q3" s="5"/>
      <c r="R3" s="5"/>
      <c r="S3" s="5"/>
      <c r="T3" s="6"/>
      <c r="U3" s="6"/>
      <c r="V3" s="6"/>
      <c r="W3" s="6"/>
      <c r="X3" s="6"/>
      <c r="Y3" s="6"/>
      <c r="Z3" s="6"/>
    </row>
    <row r="4" spans="1:26" ht="33" thickTop="1" thickBot="1" x14ac:dyDescent="0.25">
      <c r="A4" s="170"/>
      <c r="B4" s="7" t="s">
        <v>6</v>
      </c>
      <c r="C4" s="163" t="s">
        <v>101</v>
      </c>
      <c r="D4" s="182" t="s">
        <v>7</v>
      </c>
      <c r="E4" s="183"/>
      <c r="F4" s="182" t="s">
        <v>66</v>
      </c>
      <c r="G4" s="184"/>
      <c r="H4" s="185" t="s">
        <v>8</v>
      </c>
      <c r="I4" s="186"/>
      <c r="J4" s="5"/>
      <c r="K4" s="5"/>
      <c r="L4" s="5"/>
      <c r="M4" s="5"/>
      <c r="N4" s="5"/>
      <c r="O4" s="71"/>
      <c r="P4" s="5"/>
      <c r="Q4" s="5"/>
      <c r="R4" s="5"/>
      <c r="S4" s="5"/>
      <c r="T4" s="6"/>
      <c r="U4" s="6"/>
      <c r="V4" s="6"/>
      <c r="W4" s="6"/>
      <c r="X4" s="6"/>
      <c r="Y4" s="6"/>
      <c r="Z4" s="6"/>
    </row>
    <row r="5" spans="1:26" ht="17.25" customHeight="1" thickTop="1" thickBot="1" x14ac:dyDescent="0.25">
      <c r="A5" s="170"/>
      <c r="B5" s="7" t="s">
        <v>9</v>
      </c>
      <c r="C5" s="8"/>
      <c r="D5" s="187">
        <v>3</v>
      </c>
      <c r="E5" s="188"/>
      <c r="F5" s="187" t="s">
        <v>88</v>
      </c>
      <c r="G5" s="189"/>
      <c r="H5" s="191" t="s">
        <v>97</v>
      </c>
      <c r="I5" s="192"/>
      <c r="J5" s="5"/>
      <c r="K5" s="5"/>
      <c r="L5" s="5"/>
      <c r="M5" s="5"/>
      <c r="N5" s="5"/>
      <c r="O5" s="71"/>
      <c r="P5" s="5"/>
      <c r="Q5" s="5"/>
      <c r="R5" s="5"/>
      <c r="S5" s="5"/>
      <c r="T5" s="6"/>
      <c r="U5" s="6"/>
      <c r="V5" s="6"/>
      <c r="W5" s="6"/>
      <c r="X5" s="6"/>
      <c r="Y5" s="6"/>
      <c r="Z5" s="6"/>
    </row>
    <row r="6" spans="1:26" ht="17.25" thickTop="1" thickBot="1" x14ac:dyDescent="0.25">
      <c r="A6" s="170"/>
      <c r="B6" s="7" t="s">
        <v>10</v>
      </c>
      <c r="C6" s="103" t="s">
        <v>93</v>
      </c>
      <c r="D6" s="182" t="s">
        <v>67</v>
      </c>
      <c r="E6" s="184"/>
      <c r="F6" s="185" t="s">
        <v>68</v>
      </c>
      <c r="G6" s="190"/>
      <c r="H6" s="193"/>
      <c r="I6" s="194"/>
      <c r="J6" s="5"/>
      <c r="K6" s="5"/>
      <c r="L6" s="5"/>
      <c r="M6" s="5"/>
      <c r="N6" s="5"/>
      <c r="O6" s="71"/>
      <c r="P6" s="5"/>
      <c r="Q6" s="5"/>
      <c r="R6" s="5"/>
      <c r="S6" s="5"/>
      <c r="T6" s="6"/>
      <c r="U6" s="6"/>
      <c r="V6" s="6"/>
      <c r="W6" s="6"/>
      <c r="X6" s="6"/>
      <c r="Y6" s="6"/>
      <c r="Z6" s="6"/>
    </row>
    <row r="7" spans="1:26" ht="17.25" thickTop="1" thickBot="1" x14ac:dyDescent="0.25">
      <c r="A7" s="171"/>
      <c r="B7" s="10" t="s">
        <v>11</v>
      </c>
      <c r="C7" s="105" t="s">
        <v>94</v>
      </c>
      <c r="D7" s="187">
        <f>D5+1</f>
        <v>4</v>
      </c>
      <c r="E7" s="188"/>
      <c r="F7" s="164"/>
      <c r="G7" s="165"/>
      <c r="H7" s="193"/>
      <c r="I7" s="194"/>
      <c r="J7" s="1"/>
      <c r="K7" s="1"/>
      <c r="L7" s="1"/>
      <c r="M7" s="1"/>
      <c r="N7" s="1"/>
      <c r="O7" s="72"/>
      <c r="P7" s="5"/>
      <c r="Q7" s="5"/>
      <c r="R7" s="5"/>
      <c r="S7" s="5"/>
      <c r="T7" s="6"/>
      <c r="U7" s="6"/>
      <c r="V7" s="6"/>
      <c r="W7" s="6"/>
      <c r="X7" s="6"/>
      <c r="Y7" s="6"/>
      <c r="Z7" s="6"/>
    </row>
    <row r="8" spans="1:26" ht="16.5" thickTop="1" thickBot="1" x14ac:dyDescent="0.25">
      <c r="A8" s="73"/>
      <c r="B8" s="1"/>
      <c r="C8" s="1"/>
      <c r="D8" s="1"/>
      <c r="E8" s="1"/>
      <c r="F8" s="1"/>
      <c r="G8" s="1"/>
      <c r="H8" s="195"/>
      <c r="I8" s="196"/>
      <c r="J8" s="1"/>
      <c r="K8" s="1"/>
      <c r="L8" s="1"/>
      <c r="M8" s="1"/>
      <c r="N8" s="1"/>
      <c r="O8" s="72"/>
      <c r="P8" s="1"/>
      <c r="Q8" s="1"/>
      <c r="R8" s="1"/>
      <c r="S8" s="1"/>
      <c r="T8" s="2"/>
      <c r="U8" s="2"/>
      <c r="V8" s="2"/>
      <c r="W8" s="2"/>
      <c r="X8" s="2"/>
      <c r="Y8" s="2"/>
      <c r="Z8" s="2"/>
    </row>
    <row r="9" spans="1:26" ht="16.5" thickTop="1" thickBot="1" x14ac:dyDescent="0.25">
      <c r="A9" s="235" t="s">
        <v>12</v>
      </c>
      <c r="B9" s="198"/>
      <c r="C9" s="198"/>
      <c r="D9" s="224"/>
      <c r="G9" s="1"/>
      <c r="H9" s="1"/>
      <c r="I9" s="1"/>
      <c r="J9" s="1"/>
      <c r="K9" s="1"/>
      <c r="L9" s="1"/>
      <c r="M9" s="1"/>
      <c r="N9" s="1"/>
      <c r="O9" s="72"/>
      <c r="P9" s="1"/>
      <c r="Q9" s="1"/>
      <c r="R9" s="1"/>
      <c r="S9" s="1"/>
      <c r="T9" s="2"/>
      <c r="U9" s="2"/>
      <c r="V9" s="2"/>
      <c r="W9" s="2"/>
      <c r="X9" s="2"/>
      <c r="Y9" s="2"/>
      <c r="Z9" s="2"/>
    </row>
    <row r="10" spans="1:26" ht="16.5" outlineLevel="1" thickTop="1" x14ac:dyDescent="0.2">
      <c r="A10" s="74" t="s">
        <v>13</v>
      </c>
      <c r="B10" s="11" t="s">
        <v>14</v>
      </c>
      <c r="C10" s="11" t="s">
        <v>70</v>
      </c>
      <c r="D10" s="12" t="s">
        <v>16</v>
      </c>
      <c r="G10" s="1"/>
      <c r="H10" s="1"/>
      <c r="I10" s="1"/>
      <c r="J10" s="1"/>
      <c r="K10" s="1"/>
      <c r="L10" s="1"/>
      <c r="M10" s="1"/>
      <c r="N10" s="1"/>
      <c r="O10" s="72"/>
      <c r="P10" s="1"/>
      <c r="Q10" s="1"/>
      <c r="R10" s="1"/>
      <c r="S10" s="1"/>
      <c r="T10" s="2"/>
      <c r="U10" s="2"/>
      <c r="V10" s="2"/>
      <c r="W10" s="2"/>
      <c r="X10" s="2"/>
      <c r="Y10" s="2"/>
      <c r="Z10" s="2"/>
    </row>
    <row r="11" spans="1:26" outlineLevel="1" x14ac:dyDescent="0.2">
      <c r="A11" s="75"/>
      <c r="B11" s="13"/>
      <c r="C11" s="13"/>
      <c r="D11" s="14"/>
      <c r="G11" s="1"/>
      <c r="H11" s="1"/>
      <c r="I11" s="1"/>
      <c r="J11" s="1"/>
      <c r="K11" s="1"/>
      <c r="L11" s="1"/>
      <c r="M11" s="1"/>
      <c r="N11" s="1"/>
      <c r="O11" s="72"/>
      <c r="P11" s="1"/>
      <c r="Q11" s="1"/>
      <c r="R11" s="1"/>
      <c r="S11" s="1"/>
      <c r="T11" s="2"/>
      <c r="U11" s="2"/>
      <c r="V11" s="2"/>
      <c r="W11" s="2"/>
      <c r="X11" s="2"/>
      <c r="Y11" s="2"/>
      <c r="Z11" s="2"/>
    </row>
    <row r="12" spans="1:26" ht="16.5" outlineLevel="1" thickBot="1" x14ac:dyDescent="0.25">
      <c r="A12" s="241" t="s">
        <v>17</v>
      </c>
      <c r="B12" s="211"/>
      <c r="C12" s="212"/>
      <c r="D12" s="99">
        <f>D11/$F$14</f>
        <v>0</v>
      </c>
      <c r="G12" s="1"/>
      <c r="H12" s="1"/>
      <c r="I12" s="1"/>
      <c r="J12" s="5"/>
      <c r="K12" s="5"/>
      <c r="L12" s="5"/>
      <c r="M12" s="5"/>
      <c r="N12" s="1"/>
      <c r="O12" s="72"/>
      <c r="P12" s="1"/>
      <c r="Q12" s="1"/>
      <c r="R12" s="1"/>
      <c r="S12" s="1"/>
      <c r="T12" s="2"/>
      <c r="U12" s="2"/>
      <c r="V12" s="2"/>
      <c r="W12" s="2"/>
      <c r="X12" s="2"/>
      <c r="Y12" s="2"/>
      <c r="Z12" s="2"/>
    </row>
    <row r="13" spans="1:26" ht="17.25" outlineLevel="1" thickTop="1" thickBot="1" x14ac:dyDescent="0.25">
      <c r="A13" s="210" t="s">
        <v>18</v>
      </c>
      <c r="B13" s="211"/>
      <c r="C13" s="212"/>
      <c r="D13" s="15"/>
      <c r="E13" s="213" t="s">
        <v>19</v>
      </c>
      <c r="F13" s="76">
        <v>0</v>
      </c>
      <c r="G13" s="1"/>
      <c r="H13" s="1"/>
      <c r="I13" s="1"/>
      <c r="J13" s="1"/>
      <c r="K13" s="1"/>
      <c r="L13" s="1"/>
      <c r="M13" s="1"/>
      <c r="O13" s="108"/>
      <c r="P13" s="1"/>
      <c r="Q13" s="1"/>
      <c r="R13" s="1"/>
      <c r="S13" s="1"/>
      <c r="T13" s="2"/>
      <c r="U13" s="2"/>
      <c r="V13" s="2"/>
      <c r="W13" s="2"/>
      <c r="X13" s="2"/>
      <c r="Y13" s="2"/>
      <c r="Z13" s="2"/>
    </row>
    <row r="14" spans="1:26" ht="17.25" outlineLevel="1" thickTop="1" thickBot="1" x14ac:dyDescent="0.25">
      <c r="A14" s="210" t="s">
        <v>20</v>
      </c>
      <c r="B14" s="211"/>
      <c r="C14" s="212"/>
      <c r="D14" s="16"/>
      <c r="E14" s="214"/>
      <c r="F14" s="77">
        <f>1-F13</f>
        <v>1</v>
      </c>
      <c r="G14" s="1"/>
      <c r="H14" s="1"/>
      <c r="I14" s="1"/>
      <c r="J14" s="1"/>
      <c r="K14" s="1"/>
      <c r="L14" s="1"/>
      <c r="M14" s="1"/>
      <c r="O14" s="108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spans="1:26" ht="17.25" outlineLevel="1" thickTop="1" thickBot="1" x14ac:dyDescent="0.25">
      <c r="A15" s="215" t="s">
        <v>21</v>
      </c>
      <c r="B15" s="211"/>
      <c r="C15" s="212"/>
      <c r="D15" s="17">
        <f>D12+D13+D14</f>
        <v>0</v>
      </c>
      <c r="E15" s="216" t="s">
        <v>22</v>
      </c>
      <c r="F15" s="78">
        <v>0.22</v>
      </c>
      <c r="G15" s="1"/>
      <c r="H15" s="1"/>
      <c r="I15" s="1"/>
      <c r="J15" s="1"/>
      <c r="K15" s="1"/>
      <c r="L15" s="1"/>
      <c r="M15" s="1"/>
      <c r="O15" s="108"/>
      <c r="P15" s="1"/>
      <c r="Q15" s="1"/>
      <c r="R15" s="1"/>
      <c r="S15" s="1"/>
      <c r="T15" s="2"/>
      <c r="U15" s="2"/>
      <c r="V15" s="2"/>
      <c r="W15" s="2"/>
      <c r="X15" s="2"/>
      <c r="Y15" s="2"/>
      <c r="Z15" s="2"/>
    </row>
    <row r="16" spans="1:26" ht="17.25" outlineLevel="1" thickTop="1" thickBot="1" x14ac:dyDescent="0.25">
      <c r="A16" s="217" t="s">
        <v>69</v>
      </c>
      <c r="B16" s="218"/>
      <c r="C16" s="219"/>
      <c r="D16" s="100">
        <f>D11+D13+D14</f>
        <v>0</v>
      </c>
      <c r="E16" s="214"/>
      <c r="F16" s="79">
        <f>1-F15</f>
        <v>0.78</v>
      </c>
      <c r="G16" s="1"/>
      <c r="H16" s="1"/>
      <c r="I16" s="1"/>
      <c r="J16" s="1"/>
      <c r="K16" s="1"/>
      <c r="L16" s="1"/>
      <c r="M16" s="1"/>
      <c r="O16" s="108"/>
      <c r="P16" s="1"/>
      <c r="Q16" s="1"/>
      <c r="R16" s="1"/>
      <c r="S16" s="1"/>
      <c r="T16" s="2"/>
      <c r="U16" s="2"/>
      <c r="V16" s="2"/>
      <c r="W16" s="2"/>
      <c r="X16" s="2"/>
      <c r="Y16" s="2"/>
      <c r="Z16" s="2"/>
    </row>
    <row r="17" spans="1:26" ht="7.5" customHeight="1" thickTop="1" thickBot="1" x14ac:dyDescent="0.25">
      <c r="A17" s="73"/>
      <c r="B17" s="1"/>
      <c r="C17" s="1"/>
      <c r="D17" s="101"/>
      <c r="E17" s="1"/>
      <c r="F17" s="1"/>
      <c r="G17" s="1"/>
      <c r="H17" s="1"/>
      <c r="I17" s="1"/>
      <c r="J17" s="1"/>
      <c r="K17" s="1"/>
      <c r="L17" s="1"/>
      <c r="M17" s="1"/>
      <c r="N17" s="106"/>
      <c r="O17" s="107"/>
      <c r="P17" s="1"/>
      <c r="Q17" s="1"/>
      <c r="R17" s="1"/>
      <c r="S17" s="1"/>
      <c r="T17" s="2"/>
      <c r="U17" s="2"/>
      <c r="V17" s="2"/>
      <c r="W17" s="2"/>
      <c r="X17" s="2"/>
      <c r="Y17" s="2"/>
      <c r="Z17" s="2"/>
    </row>
    <row r="18" spans="1:26" ht="15.75" customHeight="1" thickTop="1" thickBot="1" x14ac:dyDescent="0.25">
      <c r="A18" s="197" t="s">
        <v>23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9"/>
      <c r="O18" s="200"/>
      <c r="P18" s="1"/>
      <c r="Q18" s="1"/>
      <c r="R18" s="1"/>
      <c r="S18" s="1"/>
      <c r="T18" s="2"/>
      <c r="U18" s="2"/>
      <c r="V18" s="2"/>
      <c r="W18" s="2"/>
      <c r="X18" s="2"/>
      <c r="Y18" s="2"/>
      <c r="Z18" s="2"/>
    </row>
    <row r="19" spans="1:26" ht="15.75" customHeight="1" outlineLevel="1" thickTop="1" thickBot="1" x14ac:dyDescent="0.25">
      <c r="A19" s="201" t="s">
        <v>24</v>
      </c>
      <c r="B19" s="199"/>
      <c r="C19" s="184"/>
      <c r="D19" s="202" t="s">
        <v>25</v>
      </c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4"/>
      <c r="P19" s="1"/>
      <c r="Q19" s="1"/>
      <c r="R19" s="1"/>
      <c r="S19" s="1"/>
      <c r="T19" s="2"/>
      <c r="U19" s="2"/>
      <c r="V19" s="2"/>
      <c r="W19" s="2"/>
      <c r="X19" s="2"/>
      <c r="Y19" s="2"/>
      <c r="Z19" s="2"/>
    </row>
    <row r="20" spans="1:26" ht="17.25" outlineLevel="1" thickTop="1" thickBot="1" x14ac:dyDescent="0.25">
      <c r="A20" s="80" t="s">
        <v>13</v>
      </c>
      <c r="B20" s="18" t="s">
        <v>14</v>
      </c>
      <c r="C20" s="19" t="s">
        <v>15</v>
      </c>
      <c r="D20" s="20" t="s">
        <v>26</v>
      </c>
      <c r="E20" s="21" t="s">
        <v>27</v>
      </c>
      <c r="F20" s="20" t="s">
        <v>28</v>
      </c>
      <c r="G20" s="21" t="s">
        <v>29</v>
      </c>
      <c r="H20" s="20" t="s">
        <v>30</v>
      </c>
      <c r="I20" s="21" t="s">
        <v>31</v>
      </c>
      <c r="J20" s="20" t="s">
        <v>32</v>
      </c>
      <c r="K20" s="22" t="s">
        <v>33</v>
      </c>
      <c r="L20" s="20" t="s">
        <v>89</v>
      </c>
      <c r="M20" s="21" t="s">
        <v>34</v>
      </c>
      <c r="N20" s="20" t="s">
        <v>84</v>
      </c>
      <c r="O20" s="81" t="s">
        <v>34</v>
      </c>
      <c r="P20" s="1"/>
      <c r="Q20" s="1"/>
      <c r="R20" s="1"/>
      <c r="S20" s="1"/>
      <c r="T20" s="2"/>
      <c r="U20" s="2"/>
      <c r="V20" s="2"/>
      <c r="W20" s="2"/>
      <c r="X20" s="2"/>
      <c r="Y20" s="2"/>
      <c r="Z20" s="2"/>
    </row>
    <row r="21" spans="1:26" s="149" customFormat="1" ht="15.75" outlineLevel="1" thickTop="1" x14ac:dyDescent="0.2">
      <c r="A21" s="143" t="s">
        <v>82</v>
      </c>
      <c r="B21" s="144" t="s">
        <v>90</v>
      </c>
      <c r="C21" s="163" t="s">
        <v>101</v>
      </c>
      <c r="D21" s="142">
        <f>805*0.8</f>
        <v>644</v>
      </c>
      <c r="E21" s="141"/>
      <c r="F21" s="142">
        <f>470*0.8</f>
        <v>376</v>
      </c>
      <c r="G21" s="141"/>
      <c r="H21" s="142">
        <f>425*0.8</f>
        <v>340</v>
      </c>
      <c r="I21" s="140"/>
      <c r="J21" s="142"/>
      <c r="K21" s="145"/>
      <c r="L21" s="142">
        <f>135*0.8</f>
        <v>108</v>
      </c>
      <c r="M21" s="140"/>
      <c r="N21" s="142"/>
      <c r="O21" s="146"/>
      <c r="P21" s="147"/>
      <c r="Q21" s="147"/>
      <c r="R21" s="147"/>
      <c r="S21" s="147"/>
      <c r="T21" s="148"/>
      <c r="U21" s="148"/>
      <c r="V21" s="148"/>
      <c r="W21" s="148"/>
      <c r="X21" s="148"/>
      <c r="Y21" s="148"/>
      <c r="Z21" s="148"/>
    </row>
    <row r="22" spans="1:26" s="149" customFormat="1" outlineLevel="1" x14ac:dyDescent="0.2">
      <c r="A22" s="143" t="s">
        <v>83</v>
      </c>
      <c r="B22" s="144" t="s">
        <v>87</v>
      </c>
      <c r="C22" s="16" t="s">
        <v>85</v>
      </c>
      <c r="D22" s="142">
        <f>2.2*D7</f>
        <v>8.8000000000000007</v>
      </c>
      <c r="E22" s="140"/>
      <c r="F22" s="142">
        <f>2.2*D7</f>
        <v>8.8000000000000007</v>
      </c>
      <c r="G22" s="140"/>
      <c r="H22" s="142">
        <f>2.2*D7</f>
        <v>8.8000000000000007</v>
      </c>
      <c r="I22" s="140"/>
      <c r="J22" s="142"/>
      <c r="K22" s="16"/>
      <c r="L22" s="142">
        <f>2.2*D7</f>
        <v>8.8000000000000007</v>
      </c>
      <c r="M22" s="140"/>
      <c r="N22" s="142"/>
      <c r="O22" s="146"/>
      <c r="P22" s="147"/>
      <c r="Q22" s="147"/>
      <c r="R22" s="147"/>
      <c r="S22" s="147"/>
      <c r="T22" s="148"/>
      <c r="U22" s="148"/>
      <c r="V22" s="148"/>
      <c r="W22" s="148"/>
      <c r="X22" s="148"/>
      <c r="Y22" s="148"/>
      <c r="Z22" s="148"/>
    </row>
    <row r="23" spans="1:26" s="149" customFormat="1" outlineLevel="1" x14ac:dyDescent="0.2">
      <c r="A23" s="143"/>
      <c r="B23" s="144"/>
      <c r="C23" s="16"/>
      <c r="D23" s="142"/>
      <c r="E23" s="140"/>
      <c r="F23" s="140"/>
      <c r="G23" s="140"/>
      <c r="H23" s="140"/>
      <c r="I23" s="140"/>
      <c r="J23" s="142"/>
      <c r="K23" s="16"/>
      <c r="L23" s="140"/>
      <c r="M23" s="140"/>
      <c r="N23" s="140"/>
      <c r="O23" s="146"/>
      <c r="P23" s="147"/>
      <c r="Q23" s="147"/>
      <c r="R23" s="147"/>
      <c r="S23" s="147"/>
      <c r="T23" s="148"/>
      <c r="U23" s="148"/>
      <c r="V23" s="148"/>
      <c r="W23" s="148"/>
      <c r="X23" s="148"/>
      <c r="Y23" s="148"/>
      <c r="Z23" s="148"/>
    </row>
    <row r="24" spans="1:26" s="149" customFormat="1" ht="15.75" customHeight="1" outlineLevel="1" x14ac:dyDescent="0.2">
      <c r="A24" s="143"/>
      <c r="B24" s="144"/>
      <c r="C24" s="16"/>
      <c r="D24" s="142"/>
      <c r="E24" s="140"/>
      <c r="F24" s="142"/>
      <c r="G24" s="145"/>
      <c r="H24" s="142"/>
      <c r="I24" s="145"/>
      <c r="J24" s="150"/>
      <c r="K24" s="16"/>
      <c r="L24" s="150"/>
      <c r="M24" s="16"/>
      <c r="N24" s="150"/>
      <c r="O24" s="16"/>
      <c r="P24" s="147"/>
      <c r="Q24" s="147"/>
      <c r="R24" s="147"/>
      <c r="S24" s="147"/>
      <c r="T24" s="148"/>
      <c r="U24" s="148"/>
      <c r="V24" s="148"/>
      <c r="W24" s="148"/>
      <c r="X24" s="148"/>
      <c r="Y24" s="148"/>
      <c r="Z24" s="148"/>
    </row>
    <row r="25" spans="1:26" s="149" customFormat="1" ht="15.75" customHeight="1" outlineLevel="1" x14ac:dyDescent="0.2">
      <c r="A25" s="143"/>
      <c r="C25" s="16"/>
      <c r="D25" s="142"/>
      <c r="E25" s="140"/>
      <c r="F25" s="142"/>
      <c r="G25" s="140"/>
      <c r="H25" s="142"/>
      <c r="I25" s="140"/>
      <c r="J25" s="150"/>
      <c r="K25" s="16"/>
      <c r="L25" s="150"/>
      <c r="M25" s="16"/>
      <c r="N25" s="150"/>
      <c r="O25" s="151"/>
      <c r="P25" s="147"/>
      <c r="Q25" s="147"/>
      <c r="R25" s="147"/>
      <c r="S25" s="147"/>
      <c r="T25" s="148"/>
      <c r="U25" s="148"/>
      <c r="V25" s="148"/>
      <c r="W25" s="148"/>
      <c r="X25" s="148"/>
      <c r="Y25" s="148"/>
      <c r="Z25" s="148"/>
    </row>
    <row r="26" spans="1:26" s="149" customFormat="1" ht="15.75" customHeight="1" outlineLevel="1" x14ac:dyDescent="0.2">
      <c r="A26" s="152"/>
      <c r="B26" s="153"/>
      <c r="C26" s="154"/>
      <c r="D26" s="142"/>
      <c r="E26" s="140"/>
      <c r="F26" s="142"/>
      <c r="G26" s="145"/>
      <c r="H26" s="142"/>
      <c r="I26" s="145"/>
      <c r="J26" s="150"/>
      <c r="K26" s="16"/>
      <c r="L26" s="150"/>
      <c r="M26" s="16"/>
      <c r="N26" s="150"/>
      <c r="O26" s="151"/>
      <c r="P26" s="147"/>
      <c r="Q26" s="147"/>
      <c r="R26" s="147"/>
      <c r="S26" s="147"/>
      <c r="T26" s="148"/>
      <c r="U26" s="148"/>
      <c r="V26" s="148"/>
      <c r="W26" s="148"/>
      <c r="X26" s="148"/>
      <c r="Y26" s="148"/>
      <c r="Z26" s="148"/>
    </row>
    <row r="27" spans="1:26" s="149" customFormat="1" ht="15.75" customHeight="1" outlineLevel="1" thickBot="1" x14ac:dyDescent="0.25">
      <c r="A27" s="152"/>
      <c r="B27" s="155"/>
      <c r="C27" s="156"/>
      <c r="D27" s="157"/>
      <c r="E27" s="156"/>
      <c r="F27" s="157"/>
      <c r="G27" s="158"/>
      <c r="H27" s="159"/>
      <c r="I27" s="158"/>
      <c r="J27" s="157"/>
      <c r="K27" s="154"/>
      <c r="L27" s="157"/>
      <c r="M27" s="154"/>
      <c r="N27" s="157"/>
      <c r="O27" s="160"/>
      <c r="P27" s="147"/>
      <c r="Q27" s="147"/>
      <c r="R27" s="147"/>
      <c r="S27" s="147"/>
      <c r="T27" s="148"/>
      <c r="U27" s="148"/>
      <c r="V27" s="148"/>
      <c r="W27" s="148"/>
      <c r="X27" s="148"/>
      <c r="Y27" s="148"/>
      <c r="Z27" s="148"/>
    </row>
    <row r="28" spans="1:26" s="162" customFormat="1" ht="16.5" outlineLevel="1" thickTop="1" thickBot="1" x14ac:dyDescent="0.25">
      <c r="A28" s="205" t="s">
        <v>35</v>
      </c>
      <c r="B28" s="206"/>
      <c r="C28" s="207"/>
      <c r="D28" s="23">
        <f t="shared" ref="D28:O28" si="0">SUM(D21:D27)</f>
        <v>652.79999999999995</v>
      </c>
      <c r="E28" s="24">
        <f t="shared" si="0"/>
        <v>0</v>
      </c>
      <c r="F28" s="23">
        <f t="shared" si="0"/>
        <v>384.8</v>
      </c>
      <c r="G28" s="24">
        <f t="shared" si="0"/>
        <v>0</v>
      </c>
      <c r="H28" s="23">
        <f t="shared" si="0"/>
        <v>348.8</v>
      </c>
      <c r="I28" s="24">
        <f t="shared" si="0"/>
        <v>0</v>
      </c>
      <c r="J28" s="23">
        <f t="shared" si="0"/>
        <v>0</v>
      </c>
      <c r="K28" s="24">
        <f t="shared" si="0"/>
        <v>0</v>
      </c>
      <c r="L28" s="24">
        <f t="shared" si="0"/>
        <v>116.8</v>
      </c>
      <c r="M28" s="24">
        <f t="shared" si="0"/>
        <v>0</v>
      </c>
      <c r="N28" s="23">
        <f t="shared" si="0"/>
        <v>0</v>
      </c>
      <c r="O28" s="82">
        <f t="shared" si="0"/>
        <v>0</v>
      </c>
      <c r="P28" s="1"/>
      <c r="Q28" s="1"/>
      <c r="R28" s="1"/>
      <c r="S28" s="1"/>
      <c r="T28" s="161"/>
      <c r="U28" s="161"/>
      <c r="V28" s="161"/>
      <c r="W28" s="161"/>
      <c r="X28" s="161"/>
      <c r="Y28" s="161"/>
      <c r="Z28" s="161"/>
    </row>
    <row r="29" spans="1:26" s="162" customFormat="1" ht="17.25" outlineLevel="1" thickTop="1" thickBot="1" x14ac:dyDescent="0.25">
      <c r="A29" s="208" t="s">
        <v>71</v>
      </c>
      <c r="B29" s="165"/>
      <c r="C29" s="209"/>
      <c r="D29" s="25">
        <f t="shared" ref="D29:O29" si="1">D28/$F$16</f>
        <v>836.92307692307679</v>
      </c>
      <c r="E29" s="26">
        <f t="shared" si="1"/>
        <v>0</v>
      </c>
      <c r="F29" s="25">
        <f t="shared" si="1"/>
        <v>493.33333333333331</v>
      </c>
      <c r="G29" s="26">
        <f t="shared" si="1"/>
        <v>0</v>
      </c>
      <c r="H29" s="25">
        <f t="shared" si="1"/>
        <v>447.17948717948718</v>
      </c>
      <c r="I29" s="26">
        <f t="shared" si="1"/>
        <v>0</v>
      </c>
      <c r="J29" s="25">
        <f t="shared" si="1"/>
        <v>0</v>
      </c>
      <c r="K29" s="26">
        <f t="shared" si="1"/>
        <v>0</v>
      </c>
      <c r="L29" s="26">
        <f t="shared" si="1"/>
        <v>149.74358974358972</v>
      </c>
      <c r="M29" s="26">
        <f t="shared" si="1"/>
        <v>0</v>
      </c>
      <c r="N29" s="25">
        <f t="shared" si="1"/>
        <v>0</v>
      </c>
      <c r="O29" s="83">
        <f t="shared" si="1"/>
        <v>0</v>
      </c>
      <c r="P29" s="1"/>
      <c r="Q29" s="1"/>
      <c r="R29" s="1"/>
      <c r="S29" s="1"/>
      <c r="T29" s="161"/>
      <c r="U29" s="161"/>
      <c r="V29" s="161"/>
      <c r="W29" s="161"/>
      <c r="X29" s="161"/>
      <c r="Y29" s="161"/>
      <c r="Z29" s="161"/>
    </row>
    <row r="30" spans="1:26" ht="6" customHeight="1" thickTop="1" thickBot="1" x14ac:dyDescent="0.25">
      <c r="A30" s="7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2"/>
      <c r="P30" s="1"/>
      <c r="Q30" s="1"/>
      <c r="R30" s="1"/>
      <c r="S30" s="1"/>
      <c r="T30" s="2"/>
      <c r="U30" s="2"/>
      <c r="V30" s="2"/>
      <c r="W30" s="2"/>
      <c r="X30" s="2"/>
      <c r="Y30" s="2"/>
      <c r="Z30" s="2"/>
    </row>
    <row r="31" spans="1:26" ht="15.75" customHeight="1" thickTop="1" thickBot="1" x14ac:dyDescent="0.25">
      <c r="A31" s="240" t="s">
        <v>36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230"/>
      <c r="P31" s="1"/>
      <c r="Q31" s="1"/>
      <c r="R31" s="1"/>
      <c r="S31" s="1"/>
      <c r="T31" s="2"/>
      <c r="U31" s="2"/>
      <c r="V31" s="2"/>
      <c r="W31" s="2"/>
      <c r="X31" s="2"/>
      <c r="Y31" s="2"/>
      <c r="Z31" s="2"/>
    </row>
    <row r="32" spans="1:26" ht="15.75" customHeight="1" outlineLevel="1" thickTop="1" thickBot="1" x14ac:dyDescent="0.25">
      <c r="A32" s="223" t="s">
        <v>24</v>
      </c>
      <c r="B32" s="198"/>
      <c r="C32" s="224"/>
      <c r="D32" s="202" t="s">
        <v>25</v>
      </c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4"/>
      <c r="P32" s="1"/>
      <c r="Q32" s="1"/>
      <c r="R32" s="1"/>
      <c r="S32" s="1"/>
      <c r="T32" s="2"/>
      <c r="U32" s="2"/>
      <c r="V32" s="2"/>
      <c r="W32" s="2"/>
      <c r="X32" s="2"/>
      <c r="Y32" s="2"/>
      <c r="Z32" s="2"/>
    </row>
    <row r="33" spans="1:26" ht="15.75" customHeight="1" outlineLevel="1" thickTop="1" thickBot="1" x14ac:dyDescent="0.25">
      <c r="A33" s="84" t="s">
        <v>37</v>
      </c>
      <c r="B33" s="27" t="s">
        <v>38</v>
      </c>
      <c r="C33" s="28" t="s">
        <v>15</v>
      </c>
      <c r="D33" s="20" t="str">
        <f t="shared" ref="D33:O33" si="2">D20</f>
        <v>PLAN SGL</v>
      </c>
      <c r="E33" s="20" t="str">
        <f t="shared" si="2"/>
        <v>N.A SGL</v>
      </c>
      <c r="F33" s="20" t="str">
        <f t="shared" si="2"/>
        <v xml:space="preserve">PLAN DBL </v>
      </c>
      <c r="G33" s="20" t="str">
        <f t="shared" si="2"/>
        <v>N.A DBL</v>
      </c>
      <c r="H33" s="20" t="str">
        <f t="shared" si="2"/>
        <v>PLAN TPL</v>
      </c>
      <c r="I33" s="20" t="str">
        <f t="shared" si="2"/>
        <v>N.A TPL</v>
      </c>
      <c r="J33" s="20" t="str">
        <f t="shared" si="2"/>
        <v>PLAN CDP</v>
      </c>
      <c r="K33" s="20" t="str">
        <f t="shared" si="2"/>
        <v>N.A CDP</v>
      </c>
      <c r="L33" s="20" t="str">
        <f t="shared" si="2"/>
        <v>NIÑO 2 - 11AÑOS</v>
      </c>
      <c r="M33" s="20" t="str">
        <f t="shared" si="2"/>
        <v>N.A CHD</v>
      </c>
      <c r="N33" s="20" t="str">
        <f t="shared" si="2"/>
        <v>NIÑO 13 - 17 AÑOS</v>
      </c>
      <c r="O33" s="85" t="str">
        <f t="shared" si="2"/>
        <v>N.A CHD</v>
      </c>
      <c r="P33" s="1"/>
      <c r="Q33" s="1"/>
      <c r="R33" s="1"/>
      <c r="S33" s="1"/>
      <c r="T33" s="2"/>
      <c r="U33" s="2"/>
      <c r="V33" s="2"/>
      <c r="W33" s="2"/>
      <c r="X33" s="2"/>
      <c r="Y33" s="2"/>
      <c r="Z33" s="2"/>
    </row>
    <row r="34" spans="1:26" ht="15.75" customHeight="1" outlineLevel="1" thickTop="1" x14ac:dyDescent="0.2">
      <c r="A34" s="86"/>
      <c r="B34" s="29"/>
      <c r="C34" s="30"/>
      <c r="D34" s="110"/>
      <c r="E34" s="111"/>
      <c r="F34" s="110"/>
      <c r="G34" s="111"/>
      <c r="H34" s="110"/>
      <c r="I34" s="111"/>
      <c r="J34" s="110"/>
      <c r="K34" s="111"/>
      <c r="L34" s="125"/>
      <c r="M34" s="121"/>
      <c r="N34" s="110"/>
      <c r="O34" s="113"/>
      <c r="P34" s="1"/>
      <c r="Q34" s="1"/>
      <c r="R34" s="1"/>
      <c r="S34" s="1"/>
      <c r="T34" s="2"/>
      <c r="U34" s="2"/>
      <c r="V34" s="2"/>
      <c r="W34" s="2"/>
      <c r="X34" s="2"/>
      <c r="Y34" s="2"/>
      <c r="Z34" s="2"/>
    </row>
    <row r="35" spans="1:26" ht="15.75" customHeight="1" outlineLevel="1" x14ac:dyDescent="0.2">
      <c r="A35" s="86"/>
      <c r="B35" s="29"/>
      <c r="C35" s="30"/>
      <c r="D35" s="110"/>
      <c r="E35" s="111"/>
      <c r="F35" s="110"/>
      <c r="G35" s="111"/>
      <c r="H35" s="110"/>
      <c r="I35" s="111"/>
      <c r="J35" s="110"/>
      <c r="K35" s="111"/>
      <c r="L35" s="125"/>
      <c r="M35" s="121"/>
      <c r="N35" s="110"/>
      <c r="O35" s="113"/>
      <c r="P35" s="1"/>
      <c r="Q35" s="1"/>
      <c r="R35" s="1"/>
      <c r="S35" s="1"/>
      <c r="T35" s="2"/>
      <c r="U35" s="2"/>
      <c r="V35" s="2"/>
      <c r="W35" s="2"/>
      <c r="X35" s="2"/>
      <c r="Y35" s="2"/>
      <c r="Z35" s="2"/>
    </row>
    <row r="36" spans="1:26" ht="15.75" customHeight="1" outlineLevel="1" x14ac:dyDescent="0.2">
      <c r="A36" s="86"/>
      <c r="B36" s="29"/>
      <c r="C36" s="30"/>
      <c r="D36" s="110"/>
      <c r="E36" s="111"/>
      <c r="F36" s="110"/>
      <c r="G36" s="111"/>
      <c r="H36" s="110"/>
      <c r="I36" s="111"/>
      <c r="J36" s="110"/>
      <c r="K36" s="111"/>
      <c r="L36" s="125"/>
      <c r="M36" s="121"/>
      <c r="N36" s="110"/>
      <c r="O36" s="113"/>
      <c r="P36" s="1"/>
      <c r="Q36" s="1"/>
      <c r="R36" s="1"/>
      <c r="S36" s="1"/>
      <c r="T36" s="2"/>
      <c r="U36" s="2"/>
      <c r="V36" s="2"/>
      <c r="W36" s="2"/>
      <c r="X36" s="2"/>
      <c r="Y36" s="2"/>
      <c r="Z36" s="2"/>
    </row>
    <row r="37" spans="1:26" ht="15.75" customHeight="1" outlineLevel="1" thickBot="1" x14ac:dyDescent="0.25">
      <c r="A37" s="225" t="s">
        <v>39</v>
      </c>
      <c r="B37" s="226"/>
      <c r="C37" s="227"/>
      <c r="D37" s="126">
        <f>D47*19%</f>
        <v>0</v>
      </c>
      <c r="E37" s="127"/>
      <c r="F37" s="126">
        <f>F47*19%</f>
        <v>0</v>
      </c>
      <c r="G37" s="127"/>
      <c r="H37" s="126">
        <f>H47*19%</f>
        <v>0</v>
      </c>
      <c r="I37" s="127"/>
      <c r="J37" s="126">
        <f t="shared" ref="J37:O37" si="3">J47*19%</f>
        <v>0</v>
      </c>
      <c r="K37" s="129">
        <f t="shared" si="3"/>
        <v>0</v>
      </c>
      <c r="L37" s="130">
        <f t="shared" si="3"/>
        <v>0</v>
      </c>
      <c r="M37" s="129">
        <f t="shared" si="3"/>
        <v>0</v>
      </c>
      <c r="N37" s="130">
        <f t="shared" si="3"/>
        <v>0</v>
      </c>
      <c r="O37" s="131">
        <f t="shared" si="3"/>
        <v>0</v>
      </c>
      <c r="P37" s="1"/>
      <c r="Q37" s="1"/>
      <c r="R37" s="1"/>
      <c r="S37" s="1"/>
      <c r="T37" s="2"/>
      <c r="U37" s="2"/>
      <c r="V37" s="2"/>
      <c r="W37" s="2"/>
      <c r="X37" s="2"/>
      <c r="Y37" s="2"/>
      <c r="Z37" s="2"/>
    </row>
    <row r="38" spans="1:26" ht="15.75" customHeight="1" outlineLevel="1" thickTop="1" thickBot="1" x14ac:dyDescent="0.25">
      <c r="A38" s="228" t="s">
        <v>40</v>
      </c>
      <c r="B38" s="229"/>
      <c r="C38" s="229"/>
      <c r="D38" s="132">
        <f>SUM(D34:D37)</f>
        <v>0</v>
      </c>
      <c r="E38" s="132">
        <f t="shared" ref="E38:O38" si="4">SUM(E34:E37)</f>
        <v>0</v>
      </c>
      <c r="F38" s="132">
        <f t="shared" si="4"/>
        <v>0</v>
      </c>
      <c r="G38" s="132">
        <f t="shared" si="4"/>
        <v>0</v>
      </c>
      <c r="H38" s="132">
        <f t="shared" si="4"/>
        <v>0</v>
      </c>
      <c r="I38" s="132">
        <f t="shared" si="4"/>
        <v>0</v>
      </c>
      <c r="J38" s="132">
        <f t="shared" si="4"/>
        <v>0</v>
      </c>
      <c r="K38" s="132">
        <f t="shared" si="4"/>
        <v>0</v>
      </c>
      <c r="L38" s="132">
        <f t="shared" si="4"/>
        <v>0</v>
      </c>
      <c r="M38" s="132">
        <f t="shared" si="4"/>
        <v>0</v>
      </c>
      <c r="N38" s="132">
        <f t="shared" si="4"/>
        <v>0</v>
      </c>
      <c r="O38" s="132">
        <f t="shared" si="4"/>
        <v>0</v>
      </c>
      <c r="P38" s="1"/>
      <c r="Q38" s="1"/>
      <c r="R38" s="1"/>
      <c r="S38" s="1"/>
      <c r="T38" s="2"/>
      <c r="U38" s="2"/>
      <c r="V38" s="2"/>
      <c r="W38" s="2"/>
      <c r="X38" s="2"/>
      <c r="Y38" s="2"/>
      <c r="Z38" s="2"/>
    </row>
    <row r="39" spans="1:26" ht="6" customHeight="1" thickTop="1" thickBot="1" x14ac:dyDescent="0.25">
      <c r="A39" s="7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72"/>
      <c r="P39" s="1"/>
      <c r="Q39" s="1"/>
      <c r="R39" s="1"/>
      <c r="S39" s="1"/>
      <c r="T39" s="2"/>
      <c r="U39" s="2"/>
      <c r="V39" s="2"/>
      <c r="W39" s="2"/>
      <c r="X39" s="2"/>
      <c r="Y39" s="2"/>
      <c r="Z39" s="2"/>
    </row>
    <row r="40" spans="1:26" ht="15.75" customHeight="1" thickTop="1" thickBot="1" x14ac:dyDescent="0.25">
      <c r="A40" s="223" t="s">
        <v>41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230"/>
      <c r="P40" s="1"/>
      <c r="Q40" s="1"/>
      <c r="R40" s="1"/>
      <c r="S40" s="1"/>
      <c r="T40" s="2"/>
      <c r="U40" s="2"/>
      <c r="V40" s="2"/>
      <c r="W40" s="2"/>
      <c r="X40" s="2"/>
      <c r="Y40" s="2"/>
      <c r="Z40" s="2"/>
    </row>
    <row r="41" spans="1:26" ht="15.75" customHeight="1" outlineLevel="1" thickTop="1" thickBot="1" x14ac:dyDescent="0.25">
      <c r="A41" s="231" t="s">
        <v>42</v>
      </c>
      <c r="B41" s="232"/>
      <c r="C41" s="233"/>
      <c r="D41" s="31" t="str">
        <f t="shared" ref="D41:O41" si="5">D20</f>
        <v>PLAN SGL</v>
      </c>
      <c r="E41" s="31" t="str">
        <f t="shared" si="5"/>
        <v>N.A SGL</v>
      </c>
      <c r="F41" s="31" t="str">
        <f t="shared" si="5"/>
        <v xml:space="preserve">PLAN DBL </v>
      </c>
      <c r="G41" s="31" t="str">
        <f t="shared" si="5"/>
        <v>N.A DBL</v>
      </c>
      <c r="H41" s="31" t="str">
        <f t="shared" si="5"/>
        <v>PLAN TPL</v>
      </c>
      <c r="I41" s="31" t="str">
        <f t="shared" si="5"/>
        <v>N.A TPL</v>
      </c>
      <c r="J41" s="31" t="str">
        <f t="shared" si="5"/>
        <v>PLAN CDP</v>
      </c>
      <c r="K41" s="31" t="str">
        <f t="shared" si="5"/>
        <v>N.A CDP</v>
      </c>
      <c r="L41" s="31" t="str">
        <f t="shared" si="5"/>
        <v>NIÑO 2 - 11AÑOS</v>
      </c>
      <c r="M41" s="31" t="str">
        <f t="shared" si="5"/>
        <v>N.A CHD</v>
      </c>
      <c r="N41" s="31" t="str">
        <f t="shared" si="5"/>
        <v>NIÑO 13 - 17 AÑOS</v>
      </c>
      <c r="O41" s="87" t="str">
        <f t="shared" si="5"/>
        <v>N.A CHD</v>
      </c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</row>
    <row r="42" spans="1:26" ht="15.75" customHeight="1" outlineLevel="1" thickTop="1" thickBot="1" x14ac:dyDescent="0.25">
      <c r="A42" s="234"/>
      <c r="B42" s="199"/>
      <c r="C42" s="184"/>
      <c r="D42" s="50">
        <f>SUM($D$16,D28,D38)</f>
        <v>652.79999999999995</v>
      </c>
      <c r="E42" s="128">
        <f t="shared" ref="E42:O42" si="6">SUM($D$16,E28,E38)</f>
        <v>0</v>
      </c>
      <c r="F42" s="32">
        <f t="shared" si="6"/>
        <v>384.8</v>
      </c>
      <c r="G42" s="32">
        <f t="shared" si="6"/>
        <v>0</v>
      </c>
      <c r="H42" s="32">
        <f t="shared" si="6"/>
        <v>348.8</v>
      </c>
      <c r="I42" s="32">
        <f t="shared" si="6"/>
        <v>0</v>
      </c>
      <c r="J42" s="32">
        <f t="shared" si="6"/>
        <v>0</v>
      </c>
      <c r="K42" s="32">
        <f t="shared" si="6"/>
        <v>0</v>
      </c>
      <c r="L42" s="32">
        <f t="shared" si="6"/>
        <v>116.8</v>
      </c>
      <c r="M42" s="32">
        <f t="shared" si="6"/>
        <v>0</v>
      </c>
      <c r="N42" s="32">
        <f t="shared" si="6"/>
        <v>0</v>
      </c>
      <c r="O42" s="32">
        <f t="shared" si="6"/>
        <v>0</v>
      </c>
      <c r="P42" s="1"/>
      <c r="Q42" s="1"/>
      <c r="R42" s="1"/>
      <c r="S42" s="1"/>
      <c r="T42" s="2"/>
      <c r="U42" s="2"/>
      <c r="V42" s="2"/>
      <c r="W42" s="2"/>
      <c r="X42" s="2"/>
      <c r="Y42" s="2"/>
      <c r="Z42" s="2"/>
    </row>
    <row r="43" spans="1:26" ht="7.5" customHeight="1" thickTop="1" thickBot="1" x14ac:dyDescent="0.25">
      <c r="A43" s="73"/>
      <c r="B43" s="1"/>
      <c r="C43" s="1"/>
      <c r="D43" s="1" t="s">
        <v>43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72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</row>
    <row r="44" spans="1:26" ht="15.75" customHeight="1" thickTop="1" thickBot="1" x14ac:dyDescent="0.25">
      <c r="A44" s="235" t="s">
        <v>72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230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</row>
    <row r="45" spans="1:26" ht="15.75" customHeight="1" outlineLevel="1" thickTop="1" thickBot="1" x14ac:dyDescent="0.25">
      <c r="A45" s="236" t="s">
        <v>44</v>
      </c>
      <c r="B45" s="232"/>
      <c r="C45" s="233"/>
      <c r="D45" s="237" t="s">
        <v>45</v>
      </c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38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</row>
    <row r="46" spans="1:26" ht="15.75" customHeight="1" outlineLevel="1" thickTop="1" thickBot="1" x14ac:dyDescent="0.25">
      <c r="A46" s="234"/>
      <c r="B46" s="199"/>
      <c r="C46" s="184"/>
      <c r="D46" s="20" t="str">
        <f t="shared" ref="D46:O46" si="7">D20</f>
        <v>PLAN SGL</v>
      </c>
      <c r="E46" s="20" t="str">
        <f t="shared" si="7"/>
        <v>N.A SGL</v>
      </c>
      <c r="F46" s="20" t="str">
        <f t="shared" si="7"/>
        <v xml:space="preserve">PLAN DBL </v>
      </c>
      <c r="G46" s="20" t="str">
        <f t="shared" si="7"/>
        <v>N.A DBL</v>
      </c>
      <c r="H46" s="20" t="str">
        <f t="shared" si="7"/>
        <v>PLAN TPL</v>
      </c>
      <c r="I46" s="20" t="str">
        <f t="shared" si="7"/>
        <v>N.A TPL</v>
      </c>
      <c r="J46" s="20" t="str">
        <f t="shared" si="7"/>
        <v>PLAN CDP</v>
      </c>
      <c r="K46" s="20" t="str">
        <f t="shared" si="7"/>
        <v>N.A CDP</v>
      </c>
      <c r="L46" s="20" t="str">
        <f t="shared" si="7"/>
        <v>NIÑO 2 - 11AÑOS</v>
      </c>
      <c r="M46" s="20" t="str">
        <f t="shared" si="7"/>
        <v>N.A CHD</v>
      </c>
      <c r="N46" s="20" t="str">
        <f t="shared" si="7"/>
        <v>NIÑO 13 - 17 AÑOS</v>
      </c>
      <c r="O46" s="85" t="str">
        <f t="shared" si="7"/>
        <v>N.A CHD</v>
      </c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</row>
    <row r="47" spans="1:26" ht="15.75" customHeight="1" outlineLevel="1" thickTop="1" x14ac:dyDescent="0.2">
      <c r="A47" s="239" t="s">
        <v>46</v>
      </c>
      <c r="B47" s="221"/>
      <c r="C47" s="222"/>
      <c r="D47" s="120"/>
      <c r="E47" s="120"/>
      <c r="F47" s="120"/>
      <c r="G47" s="120"/>
      <c r="H47" s="120"/>
      <c r="I47" s="120"/>
      <c r="J47" s="120"/>
      <c r="K47" s="121"/>
      <c r="L47" s="110"/>
      <c r="M47" s="112"/>
      <c r="N47" s="110"/>
      <c r="O47" s="122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</row>
    <row r="48" spans="1:26" ht="15.75" customHeight="1" outlineLevel="1" x14ac:dyDescent="0.2">
      <c r="A48" s="220" t="s">
        <v>73</v>
      </c>
      <c r="B48" s="221"/>
      <c r="C48" s="222"/>
      <c r="D48" s="120"/>
      <c r="E48" s="120"/>
      <c r="F48" s="120"/>
      <c r="G48" s="120"/>
      <c r="H48" s="120"/>
      <c r="I48" s="120"/>
      <c r="J48" s="123"/>
      <c r="K48" s="124"/>
      <c r="L48" s="114"/>
      <c r="M48" s="109"/>
      <c r="N48" s="114"/>
      <c r="O48" s="115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</row>
    <row r="49" spans="1:26" ht="15.75" customHeight="1" outlineLevel="1" x14ac:dyDescent="0.2">
      <c r="A49" s="220" t="s">
        <v>80</v>
      </c>
      <c r="B49" s="221"/>
      <c r="C49" s="222"/>
      <c r="D49" s="120"/>
      <c r="E49" s="120"/>
      <c r="F49" s="120"/>
      <c r="G49" s="120"/>
      <c r="H49" s="120"/>
      <c r="I49" s="120"/>
      <c r="J49" s="120"/>
      <c r="K49" s="124"/>
      <c r="L49" s="118"/>
      <c r="M49" s="116"/>
      <c r="N49" s="118"/>
      <c r="O49" s="119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</row>
    <row r="50" spans="1:26" ht="15.75" customHeight="1" outlineLevel="1" thickBot="1" x14ac:dyDescent="0.25">
      <c r="A50" s="243" t="s">
        <v>74</v>
      </c>
      <c r="B50" s="226"/>
      <c r="C50" s="227"/>
      <c r="D50" s="133"/>
      <c r="E50" s="133"/>
      <c r="F50" s="133"/>
      <c r="G50" s="133"/>
      <c r="H50" s="133"/>
      <c r="I50" s="133"/>
      <c r="J50" s="117"/>
      <c r="K50" s="134"/>
      <c r="L50" s="118"/>
      <c r="M50" s="116"/>
      <c r="N50" s="118"/>
      <c r="O50" s="119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</row>
    <row r="51" spans="1:26" ht="15.75" customHeight="1" outlineLevel="1" thickTop="1" thickBot="1" x14ac:dyDescent="0.25">
      <c r="A51" s="244" t="s">
        <v>47</v>
      </c>
      <c r="B51" s="245"/>
      <c r="C51" s="245"/>
      <c r="D51" s="135">
        <f>SUM(D47:D50)</f>
        <v>0</v>
      </c>
      <c r="E51" s="135">
        <f t="shared" ref="E51:O51" si="8">SUM(E47:E50)</f>
        <v>0</v>
      </c>
      <c r="F51" s="135">
        <f t="shared" si="8"/>
        <v>0</v>
      </c>
      <c r="G51" s="135">
        <f t="shared" si="8"/>
        <v>0</v>
      </c>
      <c r="H51" s="135">
        <f t="shared" si="8"/>
        <v>0</v>
      </c>
      <c r="I51" s="135">
        <f t="shared" si="8"/>
        <v>0</v>
      </c>
      <c r="J51" s="135">
        <f t="shared" si="8"/>
        <v>0</v>
      </c>
      <c r="K51" s="135">
        <f t="shared" si="8"/>
        <v>0</v>
      </c>
      <c r="L51" s="135">
        <f t="shared" si="8"/>
        <v>0</v>
      </c>
      <c r="M51" s="135">
        <f t="shared" si="8"/>
        <v>0</v>
      </c>
      <c r="N51" s="135">
        <f t="shared" si="8"/>
        <v>0</v>
      </c>
      <c r="O51" s="135">
        <f t="shared" si="8"/>
        <v>0</v>
      </c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</row>
    <row r="52" spans="1:26" ht="6" customHeight="1" thickTop="1" thickBot="1" x14ac:dyDescent="0.25">
      <c r="A52" s="7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72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</row>
    <row r="53" spans="1:26" ht="15.75" customHeight="1" thickTop="1" thickBot="1" x14ac:dyDescent="0.25">
      <c r="A53" s="246" t="s">
        <v>75</v>
      </c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230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</row>
    <row r="54" spans="1:26" ht="15.75" customHeight="1" outlineLevel="1" thickTop="1" thickBot="1" x14ac:dyDescent="0.25">
      <c r="A54" s="247" t="s">
        <v>48</v>
      </c>
      <c r="B54" s="232"/>
      <c r="C54" s="233"/>
      <c r="D54" s="20" t="str">
        <f t="shared" ref="D54:O54" si="9">D20</f>
        <v>PLAN SGL</v>
      </c>
      <c r="E54" s="20" t="str">
        <f t="shared" si="9"/>
        <v>N.A SGL</v>
      </c>
      <c r="F54" s="20" t="str">
        <f t="shared" si="9"/>
        <v xml:space="preserve">PLAN DBL </v>
      </c>
      <c r="G54" s="20" t="str">
        <f t="shared" si="9"/>
        <v>N.A DBL</v>
      </c>
      <c r="H54" s="20" t="str">
        <f t="shared" si="9"/>
        <v>PLAN TPL</v>
      </c>
      <c r="I54" s="20" t="str">
        <f t="shared" si="9"/>
        <v>N.A TPL</v>
      </c>
      <c r="J54" s="20" t="str">
        <f t="shared" si="9"/>
        <v>PLAN CDP</v>
      </c>
      <c r="K54" s="20" t="str">
        <f t="shared" si="9"/>
        <v>N.A CDP</v>
      </c>
      <c r="L54" s="20" t="str">
        <f t="shared" si="9"/>
        <v>NIÑO 2 - 11AÑOS</v>
      </c>
      <c r="M54" s="20" t="str">
        <f t="shared" si="9"/>
        <v>N.A CHD</v>
      </c>
      <c r="N54" s="20" t="str">
        <f t="shared" si="9"/>
        <v>NIÑO 13 - 17 AÑOS</v>
      </c>
      <c r="O54" s="85" t="str">
        <f t="shared" si="9"/>
        <v>N.A CHD</v>
      </c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</row>
    <row r="55" spans="1:26" ht="15.75" customHeight="1" outlineLevel="1" thickTop="1" thickBot="1" x14ac:dyDescent="0.25">
      <c r="A55" s="234"/>
      <c r="B55" s="199"/>
      <c r="C55" s="184"/>
      <c r="D55" s="34">
        <f>D38+D51</f>
        <v>0</v>
      </c>
      <c r="E55" s="34">
        <f t="shared" ref="E55:O55" si="10">E38+E51</f>
        <v>0</v>
      </c>
      <c r="F55" s="34">
        <f t="shared" si="10"/>
        <v>0</v>
      </c>
      <c r="G55" s="34">
        <f t="shared" si="10"/>
        <v>0</v>
      </c>
      <c r="H55" s="34">
        <f t="shared" si="10"/>
        <v>0</v>
      </c>
      <c r="I55" s="34">
        <f t="shared" si="10"/>
        <v>0</v>
      </c>
      <c r="J55" s="34">
        <f t="shared" si="10"/>
        <v>0</v>
      </c>
      <c r="K55" s="34">
        <f t="shared" si="10"/>
        <v>0</v>
      </c>
      <c r="L55" s="34">
        <f t="shared" si="10"/>
        <v>0</v>
      </c>
      <c r="M55" s="34">
        <f t="shared" si="10"/>
        <v>0</v>
      </c>
      <c r="N55" s="34">
        <f t="shared" si="10"/>
        <v>0</v>
      </c>
      <c r="O55" s="34">
        <f t="shared" si="10"/>
        <v>0</v>
      </c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</row>
    <row r="56" spans="1:26" ht="6" customHeight="1" thickTop="1" thickBot="1" x14ac:dyDescent="0.25">
      <c r="A56" s="7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72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</row>
    <row r="57" spans="1:26" ht="22.5" customHeight="1" thickTop="1" thickBot="1" x14ac:dyDescent="0.25">
      <c r="A57" s="248" t="s">
        <v>77</v>
      </c>
      <c r="B57" s="249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50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</row>
    <row r="58" spans="1:26" ht="15.75" customHeight="1" outlineLevel="1" thickTop="1" thickBot="1" x14ac:dyDescent="0.25">
      <c r="A58" s="251" t="s">
        <v>76</v>
      </c>
      <c r="B58" s="252"/>
      <c r="C58" s="253"/>
      <c r="D58" s="20" t="str">
        <f t="shared" ref="D58:O58" si="11">D20</f>
        <v>PLAN SGL</v>
      </c>
      <c r="E58" s="20" t="str">
        <f t="shared" si="11"/>
        <v>N.A SGL</v>
      </c>
      <c r="F58" s="20" t="str">
        <f t="shared" si="11"/>
        <v xml:space="preserve">PLAN DBL </v>
      </c>
      <c r="G58" s="20" t="str">
        <f t="shared" si="11"/>
        <v>N.A DBL</v>
      </c>
      <c r="H58" s="20" t="str">
        <f t="shared" si="11"/>
        <v>PLAN TPL</v>
      </c>
      <c r="I58" s="20" t="str">
        <f t="shared" si="11"/>
        <v>N.A TPL</v>
      </c>
      <c r="J58" s="20" t="str">
        <f t="shared" si="11"/>
        <v>PLAN CDP</v>
      </c>
      <c r="K58" s="20" t="str">
        <f t="shared" si="11"/>
        <v>N.A CDP</v>
      </c>
      <c r="L58" s="20" t="str">
        <f t="shared" si="11"/>
        <v>NIÑO 2 - 11AÑOS</v>
      </c>
      <c r="M58" s="20" t="str">
        <f t="shared" si="11"/>
        <v>N.A CHD</v>
      </c>
      <c r="N58" s="20" t="str">
        <f t="shared" si="11"/>
        <v>NIÑO 13 - 17 AÑOS</v>
      </c>
      <c r="O58" s="85" t="str">
        <f t="shared" si="11"/>
        <v>N.A CHD</v>
      </c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</row>
    <row r="59" spans="1:26" ht="24" customHeight="1" outlineLevel="1" thickTop="1" thickBot="1" x14ac:dyDescent="0.25">
      <c r="A59" s="254"/>
      <c r="B59" s="255"/>
      <c r="C59" s="256"/>
      <c r="D59" s="136">
        <f>(MROUND(SUM($D$15,D29,D38,D51)+5,10)-1)</f>
        <v>839</v>
      </c>
      <c r="E59" s="136" t="s">
        <v>81</v>
      </c>
      <c r="F59" s="136">
        <f t="shared" ref="F59:L59" si="12">(MROUND(SUM($D$15,F29,F38,F51)+5,10)-1)</f>
        <v>499</v>
      </c>
      <c r="G59" s="136" t="s">
        <v>81</v>
      </c>
      <c r="H59" s="136">
        <f t="shared" si="12"/>
        <v>449</v>
      </c>
      <c r="I59" s="136" t="s">
        <v>81</v>
      </c>
      <c r="J59" s="136" t="s">
        <v>81</v>
      </c>
      <c r="K59" s="137" t="s">
        <v>81</v>
      </c>
      <c r="L59" s="136">
        <f t="shared" si="12"/>
        <v>149</v>
      </c>
      <c r="M59" s="136" t="s">
        <v>81</v>
      </c>
      <c r="N59" s="136" t="s">
        <v>81</v>
      </c>
      <c r="O59" s="136" t="s">
        <v>81</v>
      </c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</row>
    <row r="60" spans="1:26" ht="7.5" customHeight="1" thickTop="1" thickBot="1" x14ac:dyDescent="0.25">
      <c r="A60" s="7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72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</row>
    <row r="61" spans="1:26" ht="15.75" customHeight="1" thickTop="1" thickBot="1" x14ac:dyDescent="0.25">
      <c r="A61" s="257" t="s">
        <v>49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230"/>
      <c r="P61" s="2"/>
      <c r="Q61" s="2"/>
      <c r="R61" s="1"/>
      <c r="S61" s="1"/>
      <c r="T61" s="2"/>
      <c r="U61" s="2"/>
      <c r="V61" s="2"/>
      <c r="W61" s="2"/>
      <c r="X61" s="2"/>
      <c r="Y61" s="2"/>
      <c r="Z61" s="2"/>
    </row>
    <row r="62" spans="1:26" ht="15.75" customHeight="1" outlineLevel="1" thickTop="1" thickBot="1" x14ac:dyDescent="0.25">
      <c r="A62" s="258" t="s">
        <v>50</v>
      </c>
      <c r="B62" s="232"/>
      <c r="C62" s="233"/>
      <c r="D62" s="20" t="str">
        <f t="shared" ref="D62:O62" si="13">D20</f>
        <v>PLAN SGL</v>
      </c>
      <c r="E62" s="20" t="str">
        <f t="shared" si="13"/>
        <v>N.A SGL</v>
      </c>
      <c r="F62" s="20" t="str">
        <f t="shared" si="13"/>
        <v xml:space="preserve">PLAN DBL </v>
      </c>
      <c r="G62" s="20" t="str">
        <f t="shared" si="13"/>
        <v>N.A DBL</v>
      </c>
      <c r="H62" s="20" t="str">
        <f t="shared" si="13"/>
        <v>PLAN TPL</v>
      </c>
      <c r="I62" s="20" t="str">
        <f t="shared" si="13"/>
        <v>N.A TPL</v>
      </c>
      <c r="J62" s="20" t="str">
        <f t="shared" si="13"/>
        <v>PLAN CDP</v>
      </c>
      <c r="K62" s="20" t="str">
        <f t="shared" si="13"/>
        <v>N.A CDP</v>
      </c>
      <c r="L62" s="20" t="str">
        <f t="shared" si="13"/>
        <v>NIÑO 2 - 11AÑOS</v>
      </c>
      <c r="M62" s="20" t="str">
        <f t="shared" si="13"/>
        <v>N.A CHD</v>
      </c>
      <c r="N62" s="20" t="str">
        <f t="shared" si="13"/>
        <v>NIÑO 13 - 17 AÑOS</v>
      </c>
      <c r="O62" s="85" t="str">
        <f t="shared" si="13"/>
        <v>N.A CHD</v>
      </c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</row>
    <row r="63" spans="1:26" ht="15.75" customHeight="1" outlineLevel="1" thickTop="1" x14ac:dyDescent="0.2">
      <c r="A63" s="259"/>
      <c r="B63" s="203"/>
      <c r="C63" s="186"/>
      <c r="D63" s="36">
        <f t="shared" ref="D63:O63" si="14">D64/D29</f>
        <v>0.2224816176470589</v>
      </c>
      <c r="E63" s="36" t="e">
        <f t="shared" si="14"/>
        <v>#VALUE!</v>
      </c>
      <c r="F63" s="36">
        <f t="shared" si="14"/>
        <v>0.23148648648648648</v>
      </c>
      <c r="G63" s="36" t="e">
        <f t="shared" si="14"/>
        <v>#VALUE!</v>
      </c>
      <c r="H63" s="36">
        <f t="shared" si="14"/>
        <v>0.22407110091743115</v>
      </c>
      <c r="I63" s="36" t="e">
        <f t="shared" si="14"/>
        <v>#VALUE!</v>
      </c>
      <c r="J63" s="36" t="e">
        <f t="shared" si="14"/>
        <v>#VALUE!</v>
      </c>
      <c r="K63" s="36" t="e">
        <f t="shared" si="14"/>
        <v>#VALUE!</v>
      </c>
      <c r="L63" s="36">
        <f t="shared" si="14"/>
        <v>0.21503424657534251</v>
      </c>
      <c r="M63" s="36" t="e">
        <f t="shared" si="14"/>
        <v>#VALUE!</v>
      </c>
      <c r="N63" s="36" t="e">
        <f t="shared" si="14"/>
        <v>#VALUE!</v>
      </c>
      <c r="O63" s="89" t="e">
        <f t="shared" si="14"/>
        <v>#VALUE!</v>
      </c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</row>
    <row r="64" spans="1:26" ht="15.75" customHeight="1" outlineLevel="1" thickBot="1" x14ac:dyDescent="0.25">
      <c r="A64" s="234"/>
      <c r="B64" s="199"/>
      <c r="C64" s="184"/>
      <c r="D64" s="34">
        <f t="shared" ref="D64:O64" si="15">D59-D42</f>
        <v>186.20000000000005</v>
      </c>
      <c r="E64" s="34" t="e">
        <f>E59-E42</f>
        <v>#VALUE!</v>
      </c>
      <c r="F64" s="34">
        <f t="shared" si="15"/>
        <v>114.19999999999999</v>
      </c>
      <c r="G64" s="34" t="e">
        <f t="shared" si="15"/>
        <v>#VALUE!</v>
      </c>
      <c r="H64" s="34">
        <f t="shared" si="15"/>
        <v>100.19999999999999</v>
      </c>
      <c r="I64" s="34" t="e">
        <f t="shared" si="15"/>
        <v>#VALUE!</v>
      </c>
      <c r="J64" s="34" t="e">
        <f t="shared" si="15"/>
        <v>#VALUE!</v>
      </c>
      <c r="K64" s="34" t="e">
        <f t="shared" si="15"/>
        <v>#VALUE!</v>
      </c>
      <c r="L64" s="34">
        <f t="shared" si="15"/>
        <v>32.200000000000003</v>
      </c>
      <c r="M64" s="34" t="e">
        <f t="shared" si="15"/>
        <v>#VALUE!</v>
      </c>
      <c r="N64" s="34" t="e">
        <f t="shared" si="15"/>
        <v>#VALUE!</v>
      </c>
      <c r="O64" s="90" t="e">
        <f t="shared" si="15"/>
        <v>#VALUE!</v>
      </c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</row>
    <row r="65" spans="1:26" ht="7.5" customHeight="1" thickTop="1" thickBot="1" x14ac:dyDescent="0.25">
      <c r="A65" s="7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72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</row>
    <row r="66" spans="1:26" ht="15.75" customHeight="1" thickTop="1" thickBot="1" x14ac:dyDescent="0.25">
      <c r="A66" s="260" t="s">
        <v>51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6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</row>
    <row r="67" spans="1:26" ht="15.75" customHeight="1" outlineLevel="1" thickTop="1" thickBot="1" x14ac:dyDescent="0.25">
      <c r="A67" s="262" t="s">
        <v>78</v>
      </c>
      <c r="B67" s="37" t="s">
        <v>52</v>
      </c>
      <c r="C67" s="37" t="s">
        <v>53</v>
      </c>
      <c r="D67" s="38" t="str">
        <f t="shared" ref="D67:O67" si="16">D20</f>
        <v>PLAN SGL</v>
      </c>
      <c r="E67" s="38" t="str">
        <f t="shared" si="16"/>
        <v>N.A SGL</v>
      </c>
      <c r="F67" s="38" t="str">
        <f t="shared" si="16"/>
        <v xml:space="preserve">PLAN DBL </v>
      </c>
      <c r="G67" s="38" t="str">
        <f t="shared" si="16"/>
        <v>N.A DBL</v>
      </c>
      <c r="H67" s="38" t="str">
        <f t="shared" si="16"/>
        <v>PLAN TPL</v>
      </c>
      <c r="I67" s="38" t="str">
        <f t="shared" si="16"/>
        <v>N.A TPL</v>
      </c>
      <c r="J67" s="38" t="str">
        <f t="shared" si="16"/>
        <v>PLAN CDP</v>
      </c>
      <c r="K67" s="38" t="str">
        <f t="shared" si="16"/>
        <v>N.A CDP</v>
      </c>
      <c r="L67" s="38" t="str">
        <f t="shared" si="16"/>
        <v>NIÑO 2 - 11AÑOS</v>
      </c>
      <c r="M67" s="38" t="str">
        <f t="shared" si="16"/>
        <v>N.A CHD</v>
      </c>
      <c r="N67" s="38" t="str">
        <f t="shared" si="16"/>
        <v>NIÑO 13 - 17 AÑOS</v>
      </c>
      <c r="O67" s="85" t="str">
        <f t="shared" si="16"/>
        <v>N.A CHD</v>
      </c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</row>
    <row r="68" spans="1:26" ht="15.75" customHeight="1" outlineLevel="1" thickTop="1" x14ac:dyDescent="0.2">
      <c r="A68" s="170"/>
      <c r="B68" s="39" t="s">
        <v>54</v>
      </c>
      <c r="C68" s="40">
        <v>0.1</v>
      </c>
      <c r="D68" s="41">
        <f>$D$29*$C$68</f>
        <v>83.692307692307679</v>
      </c>
      <c r="E68" s="42">
        <f t="shared" ref="E68:O68" si="17">E29*$C$68</f>
        <v>0</v>
      </c>
      <c r="F68" s="41">
        <f t="shared" si="17"/>
        <v>49.333333333333336</v>
      </c>
      <c r="G68" s="42">
        <f t="shared" si="17"/>
        <v>0</v>
      </c>
      <c r="H68" s="41">
        <f t="shared" si="17"/>
        <v>44.717948717948723</v>
      </c>
      <c r="I68" s="42">
        <f t="shared" si="17"/>
        <v>0</v>
      </c>
      <c r="J68" s="41">
        <f t="shared" si="17"/>
        <v>0</v>
      </c>
      <c r="K68" s="42">
        <f t="shared" si="17"/>
        <v>0</v>
      </c>
      <c r="L68" s="41">
        <f t="shared" si="17"/>
        <v>14.974358974358973</v>
      </c>
      <c r="M68" s="42">
        <f t="shared" si="17"/>
        <v>0</v>
      </c>
      <c r="N68" s="43">
        <f t="shared" si="17"/>
        <v>0</v>
      </c>
      <c r="O68" s="91">
        <f t="shared" si="17"/>
        <v>0</v>
      </c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</row>
    <row r="69" spans="1:26" ht="15.75" customHeight="1" outlineLevel="1" x14ac:dyDescent="0.2">
      <c r="A69" s="170"/>
      <c r="B69" s="44" t="s">
        <v>55</v>
      </c>
      <c r="C69" s="45">
        <v>0.12</v>
      </c>
      <c r="D69" s="41">
        <f>$D$29*$C$69</f>
        <v>100.43076923076922</v>
      </c>
      <c r="E69" s="46">
        <f>E29*$C$69</f>
        <v>0</v>
      </c>
      <c r="F69" s="41">
        <f>$F$29*$C$69</f>
        <v>59.199999999999996</v>
      </c>
      <c r="G69" s="46">
        <f>G29*$C$69</f>
        <v>0</v>
      </c>
      <c r="H69" s="41">
        <f>$H$29*$C$69</f>
        <v>53.661538461538463</v>
      </c>
      <c r="I69" s="46">
        <f>I29*$C$69</f>
        <v>0</v>
      </c>
      <c r="J69" s="41">
        <f>$J$29*$C$69</f>
        <v>0</v>
      </c>
      <c r="K69" s="46">
        <f>K29*$C$69</f>
        <v>0</v>
      </c>
      <c r="L69" s="41">
        <f>$L$29*$C$69</f>
        <v>17.969230769230766</v>
      </c>
      <c r="M69" s="46">
        <f>M29*$C$69</f>
        <v>0</v>
      </c>
      <c r="N69" s="43">
        <f>$N$29*$C$69</f>
        <v>0</v>
      </c>
      <c r="O69" s="92">
        <f>O29*$C$69</f>
        <v>0</v>
      </c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</row>
    <row r="70" spans="1:26" ht="15.75" customHeight="1" outlineLevel="1" x14ac:dyDescent="0.2">
      <c r="A70" s="170"/>
      <c r="B70" s="44" t="s">
        <v>56</v>
      </c>
      <c r="C70" s="45">
        <v>0.15</v>
      </c>
      <c r="D70" s="41">
        <f>$D$29*$C$70</f>
        <v>125.53846153846152</v>
      </c>
      <c r="E70" s="46">
        <f>E29*$C$70</f>
        <v>0</v>
      </c>
      <c r="F70" s="41">
        <f>$F$29*$C$70</f>
        <v>74</v>
      </c>
      <c r="G70" s="46">
        <f>G29*$C$70</f>
        <v>0</v>
      </c>
      <c r="H70" s="41">
        <f>$H$29*$C$70</f>
        <v>67.07692307692308</v>
      </c>
      <c r="I70" s="46">
        <f>I29*$C$70</f>
        <v>0</v>
      </c>
      <c r="J70" s="41">
        <f>$J$29*$C$70</f>
        <v>0</v>
      </c>
      <c r="K70" s="46">
        <f>K29*$C$70</f>
        <v>0</v>
      </c>
      <c r="L70" s="41">
        <f>$L$29*$C$70</f>
        <v>22.461538461538456</v>
      </c>
      <c r="M70" s="46">
        <f>M29*$C$70</f>
        <v>0</v>
      </c>
      <c r="N70" s="43">
        <f>$N$29*$C$70</f>
        <v>0</v>
      </c>
      <c r="O70" s="92">
        <f>O29*$C$70</f>
        <v>0</v>
      </c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</row>
    <row r="71" spans="1:26" ht="15.75" customHeight="1" outlineLevel="1" thickBot="1" x14ac:dyDescent="0.25">
      <c r="A71" s="171"/>
      <c r="B71" s="47" t="s">
        <v>57</v>
      </c>
      <c r="C71" s="48">
        <v>0.17</v>
      </c>
      <c r="D71" s="32">
        <f>$D$29*$C$71</f>
        <v>142.27692307692305</v>
      </c>
      <c r="E71" s="49">
        <f>E29*$C$71</f>
        <v>0</v>
      </c>
      <c r="F71" s="32">
        <f>$F$29*$C$71</f>
        <v>83.866666666666674</v>
      </c>
      <c r="G71" s="49">
        <f>G29*$C$71</f>
        <v>0</v>
      </c>
      <c r="H71" s="32">
        <f>$H$29*$C$71</f>
        <v>76.02051282051282</v>
      </c>
      <c r="I71" s="49">
        <f>I29*$C$71</f>
        <v>0</v>
      </c>
      <c r="J71" s="32">
        <f>$J$29*$C$71</f>
        <v>0</v>
      </c>
      <c r="K71" s="49">
        <f>K29*$C$71</f>
        <v>0</v>
      </c>
      <c r="L71" s="32">
        <f>$L$29*$C$71</f>
        <v>25.456410256410255</v>
      </c>
      <c r="M71" s="49">
        <f>M29*$C$71</f>
        <v>0</v>
      </c>
      <c r="N71" s="50">
        <f>$N$29*$C$71</f>
        <v>0</v>
      </c>
      <c r="O71" s="93">
        <f>O29*$C$71</f>
        <v>0</v>
      </c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</row>
    <row r="72" spans="1:26" ht="6" customHeight="1" thickTop="1" thickBot="1" x14ac:dyDescent="0.25">
      <c r="A72" s="7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72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</row>
    <row r="73" spans="1:26" ht="15.75" customHeight="1" thickTop="1" thickBot="1" x14ac:dyDescent="0.25">
      <c r="A73" s="223" t="s">
        <v>79</v>
      </c>
      <c r="B73" s="198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230"/>
      <c r="P73" s="5"/>
      <c r="Q73" s="5"/>
      <c r="R73" s="5"/>
      <c r="S73" s="5"/>
      <c r="T73" s="2"/>
      <c r="U73" s="2"/>
      <c r="V73" s="2"/>
      <c r="W73" s="2"/>
      <c r="X73" s="2"/>
      <c r="Y73" s="2"/>
      <c r="Z73" s="2"/>
    </row>
    <row r="74" spans="1:26" ht="17.25" outlineLevel="1" thickTop="1" thickBot="1" x14ac:dyDescent="0.25">
      <c r="A74" s="280" t="s">
        <v>58</v>
      </c>
      <c r="B74" s="51" t="str">
        <f t="shared" ref="B74:C74" si="18">B67</f>
        <v xml:space="preserve">CATEGORIA </v>
      </c>
      <c r="C74" s="51" t="str">
        <f t="shared" si="18"/>
        <v xml:space="preserve">% DE COMISION </v>
      </c>
      <c r="D74" s="52" t="str">
        <f t="shared" ref="D74:O74" si="19">D20</f>
        <v>PLAN SGL</v>
      </c>
      <c r="E74" s="52" t="str">
        <f t="shared" si="19"/>
        <v>N.A SGL</v>
      </c>
      <c r="F74" s="52" t="str">
        <f t="shared" si="19"/>
        <v xml:space="preserve">PLAN DBL </v>
      </c>
      <c r="G74" s="52" t="str">
        <f t="shared" si="19"/>
        <v>N.A DBL</v>
      </c>
      <c r="H74" s="52" t="str">
        <f t="shared" si="19"/>
        <v>PLAN TPL</v>
      </c>
      <c r="I74" s="52" t="str">
        <f t="shared" si="19"/>
        <v>N.A TPL</v>
      </c>
      <c r="J74" s="52" t="str">
        <f t="shared" si="19"/>
        <v>PLAN CDP</v>
      </c>
      <c r="K74" s="52" t="str">
        <f t="shared" si="19"/>
        <v>N.A CDP</v>
      </c>
      <c r="L74" s="52" t="str">
        <f t="shared" si="19"/>
        <v>NIÑO 2 - 11AÑOS</v>
      </c>
      <c r="M74" s="52" t="str">
        <f t="shared" si="19"/>
        <v>N.A CHD</v>
      </c>
      <c r="N74" s="52" t="str">
        <f t="shared" si="19"/>
        <v>NIÑO 13 - 17 AÑOS</v>
      </c>
      <c r="O74" s="94" t="str">
        <f t="shared" si="19"/>
        <v>N.A CHD</v>
      </c>
      <c r="P74" s="5"/>
      <c r="Q74" s="5"/>
      <c r="R74" s="5"/>
      <c r="S74" s="5"/>
      <c r="T74" s="2"/>
      <c r="U74" s="2"/>
      <c r="V74" s="2"/>
      <c r="W74" s="2"/>
      <c r="X74" s="2"/>
      <c r="Y74" s="2"/>
      <c r="Z74" s="2"/>
    </row>
    <row r="75" spans="1:26" ht="15.75" customHeight="1" outlineLevel="1" thickTop="1" x14ac:dyDescent="0.2">
      <c r="A75" s="170"/>
      <c r="B75" s="271" t="s">
        <v>54</v>
      </c>
      <c r="C75" s="242">
        <v>0.1</v>
      </c>
      <c r="D75" s="53">
        <f t="shared" ref="D75:O75" si="20">D76/D59</f>
        <v>0.12217841753002666</v>
      </c>
      <c r="E75" s="53" t="e">
        <f t="shared" si="20"/>
        <v>#VALUE!</v>
      </c>
      <c r="F75" s="53">
        <f t="shared" si="20"/>
        <v>0.12999331997327984</v>
      </c>
      <c r="G75" s="53" t="e">
        <f t="shared" si="20"/>
        <v>#VALUE!</v>
      </c>
      <c r="H75" s="53">
        <f t="shared" si="20"/>
        <v>0.12356804294443489</v>
      </c>
      <c r="I75" s="53" t="e">
        <f t="shared" si="20"/>
        <v>#VALUE!</v>
      </c>
      <c r="J75" s="53" t="e">
        <f t="shared" si="20"/>
        <v>#VALUE!</v>
      </c>
      <c r="K75" s="53" t="e">
        <f t="shared" si="20"/>
        <v>#VALUE!</v>
      </c>
      <c r="L75" s="53">
        <f t="shared" si="20"/>
        <v>0.11560832903114787</v>
      </c>
      <c r="M75" s="53" t="e">
        <f t="shared" si="20"/>
        <v>#VALUE!</v>
      </c>
      <c r="N75" s="53" t="e">
        <f t="shared" si="20"/>
        <v>#VALUE!</v>
      </c>
      <c r="O75" s="95" t="e">
        <f t="shared" si="20"/>
        <v>#VALUE!</v>
      </c>
      <c r="P75" s="5"/>
      <c r="Q75" s="5"/>
      <c r="R75" s="5"/>
      <c r="S75" s="5"/>
      <c r="T75" s="2"/>
      <c r="U75" s="2"/>
      <c r="V75" s="2"/>
      <c r="W75" s="2"/>
      <c r="X75" s="2"/>
      <c r="Y75" s="2"/>
      <c r="Z75" s="2"/>
    </row>
    <row r="76" spans="1:26" ht="15.75" customHeight="1" outlineLevel="1" x14ac:dyDescent="0.2">
      <c r="A76" s="170"/>
      <c r="B76" s="272"/>
      <c r="C76" s="222"/>
      <c r="D76" s="54">
        <f t="shared" ref="D76:O76" si="21">D64-D68</f>
        <v>102.50769230769237</v>
      </c>
      <c r="E76" s="54" t="e">
        <f t="shared" si="21"/>
        <v>#VALUE!</v>
      </c>
      <c r="F76" s="54">
        <f t="shared" si="21"/>
        <v>64.866666666666646</v>
      </c>
      <c r="G76" s="54" t="e">
        <f t="shared" si="21"/>
        <v>#VALUE!</v>
      </c>
      <c r="H76" s="54">
        <f t="shared" si="21"/>
        <v>55.482051282051266</v>
      </c>
      <c r="I76" s="54" t="e">
        <f t="shared" si="21"/>
        <v>#VALUE!</v>
      </c>
      <c r="J76" s="54" t="e">
        <f t="shared" si="21"/>
        <v>#VALUE!</v>
      </c>
      <c r="K76" s="54" t="e">
        <f t="shared" si="21"/>
        <v>#VALUE!</v>
      </c>
      <c r="L76" s="54">
        <f t="shared" si="21"/>
        <v>17.225641025641032</v>
      </c>
      <c r="M76" s="54" t="e">
        <f t="shared" si="21"/>
        <v>#VALUE!</v>
      </c>
      <c r="N76" s="54" t="e">
        <f t="shared" si="21"/>
        <v>#VALUE!</v>
      </c>
      <c r="O76" s="96" t="e">
        <f t="shared" si="21"/>
        <v>#VALUE!</v>
      </c>
      <c r="P76" s="5"/>
      <c r="Q76" s="5"/>
      <c r="R76" s="5"/>
      <c r="S76" s="5"/>
      <c r="T76" s="2"/>
      <c r="U76" s="2"/>
      <c r="V76" s="2"/>
      <c r="W76" s="2"/>
      <c r="X76" s="2"/>
      <c r="Y76" s="2"/>
      <c r="Z76" s="2"/>
    </row>
    <row r="77" spans="1:26" ht="15.75" customHeight="1" outlineLevel="1" x14ac:dyDescent="0.2">
      <c r="A77" s="170"/>
      <c r="B77" s="281" t="s">
        <v>55</v>
      </c>
      <c r="C77" s="242">
        <v>0.12</v>
      </c>
      <c r="D77" s="53">
        <f t="shared" ref="D77:O77" si="22">D78/D59</f>
        <v>0.10222792701934545</v>
      </c>
      <c r="E77" s="53" t="e">
        <f>E78/E59</f>
        <v>#VALUE!</v>
      </c>
      <c r="F77" s="53">
        <f t="shared" si="22"/>
        <v>0.11022044088176351</v>
      </c>
      <c r="G77" s="53" t="e">
        <f>G78/G59</f>
        <v>#VALUE!</v>
      </c>
      <c r="H77" s="53">
        <f t="shared" si="22"/>
        <v>0.10364913482953569</v>
      </c>
      <c r="I77" s="53" t="e">
        <f t="shared" si="22"/>
        <v>#VALUE!</v>
      </c>
      <c r="J77" s="53" t="e">
        <f t="shared" si="22"/>
        <v>#VALUE!</v>
      </c>
      <c r="K77" s="53" t="e">
        <f t="shared" si="22"/>
        <v>#VALUE!</v>
      </c>
      <c r="L77" s="53">
        <f t="shared" si="22"/>
        <v>9.5508518327310318E-2</v>
      </c>
      <c r="M77" s="53" t="e">
        <f t="shared" si="22"/>
        <v>#VALUE!</v>
      </c>
      <c r="N77" s="53" t="e">
        <f t="shared" si="22"/>
        <v>#VALUE!</v>
      </c>
      <c r="O77" s="95" t="e">
        <f t="shared" si="22"/>
        <v>#VALUE!</v>
      </c>
      <c r="P77" s="55"/>
      <c r="Q77" s="55"/>
      <c r="R77" s="55"/>
      <c r="S77" s="55"/>
      <c r="T77" s="2"/>
      <c r="U77" s="2"/>
      <c r="V77" s="2"/>
      <c r="W77" s="2"/>
      <c r="X77" s="2"/>
      <c r="Y77" s="2"/>
      <c r="Z77" s="2"/>
    </row>
    <row r="78" spans="1:26" ht="15.75" customHeight="1" outlineLevel="1" x14ac:dyDescent="0.2">
      <c r="A78" s="170"/>
      <c r="B78" s="272"/>
      <c r="C78" s="222"/>
      <c r="D78" s="54">
        <f t="shared" ref="D78:O78" si="23">D64-D69</f>
        <v>85.76923076923083</v>
      </c>
      <c r="E78" s="54" t="e">
        <f>E64-E69</f>
        <v>#VALUE!</v>
      </c>
      <c r="F78" s="54">
        <f t="shared" si="23"/>
        <v>54.999999999999993</v>
      </c>
      <c r="G78" s="54" t="e">
        <f>G64-G69</f>
        <v>#VALUE!</v>
      </c>
      <c r="H78" s="54">
        <f t="shared" si="23"/>
        <v>46.538461538461526</v>
      </c>
      <c r="I78" s="54" t="e">
        <f t="shared" si="23"/>
        <v>#VALUE!</v>
      </c>
      <c r="J78" s="54" t="e">
        <f t="shared" si="23"/>
        <v>#VALUE!</v>
      </c>
      <c r="K78" s="54" t="e">
        <f t="shared" si="23"/>
        <v>#VALUE!</v>
      </c>
      <c r="L78" s="54">
        <f t="shared" si="23"/>
        <v>14.230769230769237</v>
      </c>
      <c r="M78" s="54" t="e">
        <f t="shared" si="23"/>
        <v>#VALUE!</v>
      </c>
      <c r="N78" s="54" t="e">
        <f t="shared" si="23"/>
        <v>#VALUE!</v>
      </c>
      <c r="O78" s="96" t="e">
        <f t="shared" si="23"/>
        <v>#VALUE!</v>
      </c>
      <c r="P78" s="5"/>
      <c r="Q78" s="5"/>
      <c r="R78" s="5"/>
      <c r="S78" s="5"/>
      <c r="T78" s="2"/>
      <c r="U78" s="2"/>
      <c r="V78" s="2"/>
      <c r="W78" s="2"/>
      <c r="X78" s="2"/>
      <c r="Y78" s="2"/>
      <c r="Z78" s="2"/>
    </row>
    <row r="79" spans="1:26" ht="15.75" customHeight="1" outlineLevel="1" x14ac:dyDescent="0.2">
      <c r="A79" s="170"/>
      <c r="B79" s="271" t="s">
        <v>56</v>
      </c>
      <c r="C79" s="242">
        <v>0.15</v>
      </c>
      <c r="D79" s="53">
        <f t="shared" ref="D79:O79" si="24">D80/D59</f>
        <v>7.2302191253323628E-2</v>
      </c>
      <c r="E79" s="53" t="e">
        <f t="shared" si="24"/>
        <v>#VALUE!</v>
      </c>
      <c r="F79" s="53">
        <f t="shared" si="24"/>
        <v>8.0561122244488956E-2</v>
      </c>
      <c r="G79" s="53" t="e">
        <f t="shared" si="24"/>
        <v>#VALUE!</v>
      </c>
      <c r="H79" s="53">
        <f t="shared" si="24"/>
        <v>7.3770772657186873E-2</v>
      </c>
      <c r="I79" s="53" t="e">
        <f t="shared" si="24"/>
        <v>#VALUE!</v>
      </c>
      <c r="J79" s="53" t="e">
        <f t="shared" si="24"/>
        <v>#VALUE!</v>
      </c>
      <c r="K79" s="53" t="e">
        <f t="shared" si="24"/>
        <v>#VALUE!</v>
      </c>
      <c r="L79" s="53">
        <f t="shared" si="24"/>
        <v>6.5358802271554009E-2</v>
      </c>
      <c r="M79" s="53" t="e">
        <f t="shared" si="24"/>
        <v>#VALUE!</v>
      </c>
      <c r="N79" s="53" t="e">
        <f t="shared" si="24"/>
        <v>#VALUE!</v>
      </c>
      <c r="O79" s="95" t="e">
        <f t="shared" si="24"/>
        <v>#VALUE!</v>
      </c>
      <c r="P79" s="5"/>
      <c r="Q79" s="5"/>
      <c r="R79" s="5"/>
      <c r="S79" s="5"/>
      <c r="T79" s="2"/>
      <c r="U79" s="2"/>
      <c r="V79" s="2"/>
      <c r="W79" s="2"/>
      <c r="X79" s="2"/>
      <c r="Y79" s="2"/>
      <c r="Z79" s="2"/>
    </row>
    <row r="80" spans="1:26" ht="15.75" customHeight="1" outlineLevel="1" x14ac:dyDescent="0.2">
      <c r="A80" s="170"/>
      <c r="B80" s="272"/>
      <c r="C80" s="222"/>
      <c r="D80" s="54">
        <f t="shared" ref="D80:O80" si="25">D64-D70</f>
        <v>60.661538461538527</v>
      </c>
      <c r="E80" s="54" t="e">
        <f t="shared" si="25"/>
        <v>#VALUE!</v>
      </c>
      <c r="F80" s="54">
        <f t="shared" si="25"/>
        <v>40.199999999999989</v>
      </c>
      <c r="G80" s="54" t="e">
        <f t="shared" si="25"/>
        <v>#VALUE!</v>
      </c>
      <c r="H80" s="54">
        <f t="shared" si="25"/>
        <v>33.123076923076908</v>
      </c>
      <c r="I80" s="54" t="e">
        <f t="shared" si="25"/>
        <v>#VALUE!</v>
      </c>
      <c r="J80" s="54" t="e">
        <f t="shared" si="25"/>
        <v>#VALUE!</v>
      </c>
      <c r="K80" s="54" t="e">
        <f t="shared" si="25"/>
        <v>#VALUE!</v>
      </c>
      <c r="L80" s="54">
        <f t="shared" si="25"/>
        <v>9.7384615384615465</v>
      </c>
      <c r="M80" s="54" t="e">
        <f t="shared" si="25"/>
        <v>#VALUE!</v>
      </c>
      <c r="N80" s="54" t="e">
        <f t="shared" si="25"/>
        <v>#VALUE!</v>
      </c>
      <c r="O80" s="96" t="e">
        <f t="shared" si="25"/>
        <v>#VALUE!</v>
      </c>
      <c r="P80" s="5"/>
      <c r="Q80" s="5"/>
      <c r="R80" s="5"/>
      <c r="S80" s="5"/>
      <c r="T80" s="2"/>
      <c r="U80" s="2"/>
      <c r="V80" s="2"/>
      <c r="W80" s="2"/>
      <c r="X80" s="2"/>
      <c r="Y80" s="2"/>
      <c r="Z80" s="2"/>
    </row>
    <row r="81" spans="1:26" ht="15.75" customHeight="1" outlineLevel="1" x14ac:dyDescent="0.2">
      <c r="A81" s="170"/>
      <c r="B81" s="271" t="s">
        <v>57</v>
      </c>
      <c r="C81" s="242">
        <v>0.17</v>
      </c>
      <c r="D81" s="53">
        <f t="shared" ref="D81:O81" si="26">D82/D59</f>
        <v>5.2351700742642421E-2</v>
      </c>
      <c r="E81" s="53" t="e">
        <f t="shared" si="26"/>
        <v>#VALUE!</v>
      </c>
      <c r="F81" s="53">
        <f t="shared" si="26"/>
        <v>6.0788243152972571E-2</v>
      </c>
      <c r="G81" s="53" t="e">
        <f t="shared" si="26"/>
        <v>#VALUE!</v>
      </c>
      <c r="H81" s="53">
        <f t="shared" si="26"/>
        <v>5.3851864542287679E-2</v>
      </c>
      <c r="I81" s="53" t="e">
        <f t="shared" si="26"/>
        <v>#VALUE!</v>
      </c>
      <c r="J81" s="53" t="e">
        <f t="shared" si="26"/>
        <v>#VALUE!</v>
      </c>
      <c r="K81" s="53" t="e">
        <f t="shared" si="26"/>
        <v>#VALUE!</v>
      </c>
      <c r="L81" s="53">
        <f t="shared" si="26"/>
        <v>4.5258991567716428E-2</v>
      </c>
      <c r="M81" s="53" t="e">
        <f t="shared" si="26"/>
        <v>#VALUE!</v>
      </c>
      <c r="N81" s="53" t="e">
        <f t="shared" si="26"/>
        <v>#VALUE!</v>
      </c>
      <c r="O81" s="95" t="e">
        <f t="shared" si="26"/>
        <v>#VALUE!</v>
      </c>
      <c r="P81" s="5"/>
      <c r="Q81" s="5"/>
      <c r="R81" s="5"/>
      <c r="S81" s="5"/>
      <c r="T81" s="2"/>
      <c r="U81" s="2"/>
      <c r="V81" s="2"/>
      <c r="W81" s="2"/>
      <c r="X81" s="2"/>
      <c r="Y81" s="2"/>
      <c r="Z81" s="2"/>
    </row>
    <row r="82" spans="1:26" ht="15.75" customHeight="1" outlineLevel="1" thickBot="1" x14ac:dyDescent="0.25">
      <c r="A82" s="171"/>
      <c r="B82" s="183"/>
      <c r="C82" s="184"/>
      <c r="D82" s="35">
        <f t="shared" ref="D82:O82" si="27">D64-D71</f>
        <v>43.923076923076991</v>
      </c>
      <c r="E82" s="35" t="e">
        <f t="shared" si="27"/>
        <v>#VALUE!</v>
      </c>
      <c r="F82" s="35">
        <f t="shared" si="27"/>
        <v>30.333333333333314</v>
      </c>
      <c r="G82" s="35" t="e">
        <f t="shared" si="27"/>
        <v>#VALUE!</v>
      </c>
      <c r="H82" s="35">
        <f t="shared" si="27"/>
        <v>24.179487179487168</v>
      </c>
      <c r="I82" s="35" t="e">
        <f t="shared" si="27"/>
        <v>#VALUE!</v>
      </c>
      <c r="J82" s="35" t="e">
        <f t="shared" si="27"/>
        <v>#VALUE!</v>
      </c>
      <c r="K82" s="35" t="e">
        <f t="shared" si="27"/>
        <v>#VALUE!</v>
      </c>
      <c r="L82" s="35">
        <f t="shared" si="27"/>
        <v>6.7435897435897481</v>
      </c>
      <c r="M82" s="35" t="e">
        <f t="shared" si="27"/>
        <v>#VALUE!</v>
      </c>
      <c r="N82" s="35" t="e">
        <f t="shared" si="27"/>
        <v>#VALUE!</v>
      </c>
      <c r="O82" s="88" t="e">
        <f t="shared" si="27"/>
        <v>#VALUE!</v>
      </c>
      <c r="P82" s="5"/>
      <c r="Q82" s="5"/>
      <c r="R82" s="5"/>
      <c r="S82" s="5"/>
      <c r="T82" s="2"/>
      <c r="U82" s="2"/>
      <c r="V82" s="2"/>
      <c r="W82" s="2"/>
      <c r="X82" s="2"/>
      <c r="Y82" s="2"/>
      <c r="Z82" s="2"/>
    </row>
    <row r="83" spans="1:26" ht="7.5" customHeight="1" thickTop="1" thickBot="1" x14ac:dyDescent="0.25">
      <c r="A83" s="97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8"/>
      <c r="P83" s="5"/>
      <c r="Q83" s="5"/>
      <c r="R83" s="5"/>
      <c r="S83" s="5"/>
      <c r="T83" s="2"/>
      <c r="U83" s="2"/>
      <c r="V83" s="2"/>
      <c r="W83" s="2"/>
      <c r="X83" s="2"/>
      <c r="Y83" s="2"/>
      <c r="Z83" s="2"/>
    </row>
    <row r="84" spans="1:26" ht="15.75" customHeight="1" thickTop="1" thickBot="1" x14ac:dyDescent="0.25">
      <c r="A84" s="273" t="s">
        <v>59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5"/>
      <c r="P84" s="5"/>
      <c r="Q84" s="5"/>
      <c r="R84" s="5"/>
      <c r="S84" s="5"/>
      <c r="T84" s="2"/>
      <c r="U84" s="2"/>
      <c r="V84" s="2"/>
      <c r="W84" s="2"/>
      <c r="X84" s="2"/>
      <c r="Y84" s="2"/>
      <c r="Z84" s="2"/>
    </row>
    <row r="85" spans="1:26" ht="15.75" customHeight="1" outlineLevel="1" thickBot="1" x14ac:dyDescent="0.25">
      <c r="A85" s="276" t="s">
        <v>60</v>
      </c>
      <c r="B85" s="56" t="str">
        <f t="shared" ref="B85:C85" si="28">B74</f>
        <v xml:space="preserve">CATEGORIA </v>
      </c>
      <c r="C85" s="56" t="str">
        <f t="shared" si="28"/>
        <v xml:space="preserve">% DE COMISION </v>
      </c>
      <c r="D85" s="52" t="str">
        <f t="shared" ref="D85:O85" si="29">D20</f>
        <v>PLAN SGL</v>
      </c>
      <c r="E85" s="52" t="str">
        <f t="shared" si="29"/>
        <v>N.A SGL</v>
      </c>
      <c r="F85" s="52" t="str">
        <f t="shared" si="29"/>
        <v xml:space="preserve">PLAN DBL </v>
      </c>
      <c r="G85" s="52" t="str">
        <f t="shared" si="29"/>
        <v>N.A DBL</v>
      </c>
      <c r="H85" s="52" t="str">
        <f t="shared" si="29"/>
        <v>PLAN TPL</v>
      </c>
      <c r="I85" s="52" t="str">
        <f t="shared" si="29"/>
        <v>N.A TPL</v>
      </c>
      <c r="J85" s="52" t="str">
        <f t="shared" si="29"/>
        <v>PLAN CDP</v>
      </c>
      <c r="K85" s="52" t="str">
        <f t="shared" si="29"/>
        <v>N.A CDP</v>
      </c>
      <c r="L85" s="52" t="str">
        <f t="shared" si="29"/>
        <v>NIÑO 2 - 11AÑOS</v>
      </c>
      <c r="M85" s="52" t="str">
        <f t="shared" si="29"/>
        <v>N.A CHD</v>
      </c>
      <c r="N85" s="52" t="str">
        <f t="shared" si="29"/>
        <v>NIÑO 13 - 17 AÑOS</v>
      </c>
      <c r="O85" s="52" t="str">
        <f t="shared" si="29"/>
        <v>N.A CHD</v>
      </c>
      <c r="P85" s="5"/>
      <c r="Q85" s="5"/>
      <c r="R85" s="5"/>
      <c r="S85" s="5"/>
      <c r="T85" s="2"/>
      <c r="U85" s="2"/>
      <c r="V85" s="2"/>
      <c r="W85" s="2"/>
      <c r="X85" s="2"/>
      <c r="Y85" s="2"/>
      <c r="Z85" s="2"/>
    </row>
    <row r="86" spans="1:26" ht="15.75" customHeight="1" outlineLevel="1" thickTop="1" x14ac:dyDescent="0.2">
      <c r="A86" s="277"/>
      <c r="B86" s="265" t="s">
        <v>54</v>
      </c>
      <c r="C86" s="266">
        <v>0.1</v>
      </c>
      <c r="D86" s="57">
        <f t="shared" ref="D86:O86" si="30">D87/D59</f>
        <v>9.8964518199321588E-2</v>
      </c>
      <c r="E86" s="53" t="e">
        <f t="shared" si="30"/>
        <v>#VALUE!</v>
      </c>
      <c r="F86" s="57">
        <f t="shared" si="30"/>
        <v>0.10529458917835668</v>
      </c>
      <c r="G86" s="53" t="e">
        <f t="shared" si="30"/>
        <v>#VALUE!</v>
      </c>
      <c r="H86" s="57">
        <f t="shared" si="30"/>
        <v>0.10009011478499226</v>
      </c>
      <c r="I86" s="53" t="e">
        <f t="shared" si="30"/>
        <v>#VALUE!</v>
      </c>
      <c r="J86" s="57" t="e">
        <f t="shared" si="30"/>
        <v>#VALUE!</v>
      </c>
      <c r="K86" s="53" t="e">
        <f t="shared" si="30"/>
        <v>#VALUE!</v>
      </c>
      <c r="L86" s="57">
        <f t="shared" si="30"/>
        <v>9.3642746515229761E-2</v>
      </c>
      <c r="M86" s="53" t="e">
        <f t="shared" si="30"/>
        <v>#VALUE!</v>
      </c>
      <c r="N86" s="57" t="e">
        <f t="shared" si="30"/>
        <v>#VALUE!</v>
      </c>
      <c r="O86" s="53" t="e">
        <f t="shared" si="30"/>
        <v>#VALUE!</v>
      </c>
      <c r="P86" s="5"/>
      <c r="Q86" s="5"/>
      <c r="R86" s="5"/>
      <c r="S86" s="5"/>
      <c r="T86" s="2"/>
      <c r="U86" s="2"/>
      <c r="V86" s="2"/>
      <c r="W86" s="2"/>
      <c r="X86" s="2"/>
      <c r="Y86" s="2"/>
      <c r="Z86" s="2"/>
    </row>
    <row r="87" spans="1:26" ht="15.75" customHeight="1" outlineLevel="1" x14ac:dyDescent="0.2">
      <c r="A87" s="277"/>
      <c r="B87" s="222"/>
      <c r="C87" s="222"/>
      <c r="D87" s="58">
        <f t="shared" ref="D87:O87" si="31">D76-(D76*0.19)</f>
        <v>83.031230769230817</v>
      </c>
      <c r="E87" s="54" t="e">
        <f t="shared" si="31"/>
        <v>#VALUE!</v>
      </c>
      <c r="F87" s="58">
        <f t="shared" si="31"/>
        <v>52.541999999999987</v>
      </c>
      <c r="G87" s="54" t="e">
        <f t="shared" si="31"/>
        <v>#VALUE!</v>
      </c>
      <c r="H87" s="58">
        <f t="shared" si="31"/>
        <v>44.940461538461527</v>
      </c>
      <c r="I87" s="54" t="e">
        <f t="shared" si="31"/>
        <v>#VALUE!</v>
      </c>
      <c r="J87" s="58" t="e">
        <f t="shared" si="31"/>
        <v>#VALUE!</v>
      </c>
      <c r="K87" s="54" t="e">
        <f t="shared" si="31"/>
        <v>#VALUE!</v>
      </c>
      <c r="L87" s="58">
        <f t="shared" si="31"/>
        <v>13.952769230769235</v>
      </c>
      <c r="M87" s="54" t="e">
        <f t="shared" si="31"/>
        <v>#VALUE!</v>
      </c>
      <c r="N87" s="58" t="e">
        <f t="shared" si="31"/>
        <v>#VALUE!</v>
      </c>
      <c r="O87" s="54" t="e">
        <f t="shared" si="31"/>
        <v>#VALUE!</v>
      </c>
      <c r="P87" s="5"/>
      <c r="Q87" s="5"/>
      <c r="R87" s="5"/>
      <c r="S87" s="5"/>
      <c r="T87" s="2"/>
      <c r="U87" s="2"/>
      <c r="V87" s="2"/>
      <c r="W87" s="2"/>
      <c r="X87" s="2"/>
      <c r="Y87" s="2"/>
      <c r="Z87" s="2"/>
    </row>
    <row r="88" spans="1:26" ht="15.75" customHeight="1" outlineLevel="1" x14ac:dyDescent="0.2">
      <c r="A88" s="277"/>
      <c r="B88" s="279" t="s">
        <v>55</v>
      </c>
      <c r="C88" s="266">
        <v>0.12</v>
      </c>
      <c r="D88" s="57">
        <f t="shared" ref="D88:O88" si="32">D89/D59</f>
        <v>8.2804620885669811E-2</v>
      </c>
      <c r="E88" s="53" t="e">
        <f t="shared" si="32"/>
        <v>#VALUE!</v>
      </c>
      <c r="F88" s="57">
        <f t="shared" si="32"/>
        <v>8.9278557114228455E-2</v>
      </c>
      <c r="G88" s="53" t="e">
        <f t="shared" si="32"/>
        <v>#VALUE!</v>
      </c>
      <c r="H88" s="57">
        <f t="shared" si="32"/>
        <v>8.3955799211923907E-2</v>
      </c>
      <c r="I88" s="53" t="e">
        <f t="shared" si="32"/>
        <v>#VALUE!</v>
      </c>
      <c r="J88" s="57" t="e">
        <f t="shared" si="32"/>
        <v>#VALUE!</v>
      </c>
      <c r="K88" s="53" t="e">
        <f t="shared" si="32"/>
        <v>#VALUE!</v>
      </c>
      <c r="L88" s="57">
        <f t="shared" si="32"/>
        <v>7.736189984512136E-2</v>
      </c>
      <c r="M88" s="53" t="e">
        <f t="shared" si="32"/>
        <v>#VALUE!</v>
      </c>
      <c r="N88" s="57" t="e">
        <f t="shared" si="32"/>
        <v>#VALUE!</v>
      </c>
      <c r="O88" s="53" t="e">
        <f t="shared" si="32"/>
        <v>#VALUE!</v>
      </c>
      <c r="P88" s="55"/>
      <c r="Q88" s="55"/>
      <c r="R88" s="55"/>
      <c r="S88" s="55"/>
      <c r="T88" s="2"/>
      <c r="U88" s="2"/>
      <c r="V88" s="2"/>
      <c r="W88" s="2"/>
      <c r="X88" s="2"/>
      <c r="Y88" s="2"/>
      <c r="Z88" s="2"/>
    </row>
    <row r="89" spans="1:26" ht="15.75" customHeight="1" outlineLevel="1" x14ac:dyDescent="0.2">
      <c r="A89" s="277"/>
      <c r="B89" s="222"/>
      <c r="C89" s="222"/>
      <c r="D89" s="58">
        <f t="shared" ref="D89:O89" si="33">D78-(D78*0.19)</f>
        <v>69.473076923076974</v>
      </c>
      <c r="E89" s="54" t="e">
        <f t="shared" si="33"/>
        <v>#VALUE!</v>
      </c>
      <c r="F89" s="58">
        <f t="shared" si="33"/>
        <v>44.55</v>
      </c>
      <c r="G89" s="54" t="e">
        <f t="shared" si="33"/>
        <v>#VALUE!</v>
      </c>
      <c r="H89" s="58">
        <f t="shared" si="33"/>
        <v>37.696153846153834</v>
      </c>
      <c r="I89" s="54" t="e">
        <f t="shared" si="33"/>
        <v>#VALUE!</v>
      </c>
      <c r="J89" s="58" t="e">
        <f t="shared" si="33"/>
        <v>#VALUE!</v>
      </c>
      <c r="K89" s="54" t="e">
        <f t="shared" si="33"/>
        <v>#VALUE!</v>
      </c>
      <c r="L89" s="58">
        <f t="shared" si="33"/>
        <v>11.526923076923083</v>
      </c>
      <c r="M89" s="54" t="e">
        <f t="shared" si="33"/>
        <v>#VALUE!</v>
      </c>
      <c r="N89" s="58" t="e">
        <f t="shared" si="33"/>
        <v>#VALUE!</v>
      </c>
      <c r="O89" s="54" t="e">
        <f t="shared" si="33"/>
        <v>#VALUE!</v>
      </c>
      <c r="P89" s="5"/>
      <c r="Q89" s="5"/>
      <c r="R89" s="5"/>
      <c r="S89" s="5"/>
      <c r="T89" s="2"/>
      <c r="U89" s="2"/>
      <c r="V89" s="2"/>
      <c r="W89" s="2"/>
      <c r="X89" s="2"/>
      <c r="Y89" s="2"/>
      <c r="Z89" s="2"/>
    </row>
    <row r="90" spans="1:26" ht="15.75" customHeight="1" outlineLevel="1" x14ac:dyDescent="0.2">
      <c r="A90" s="277"/>
      <c r="B90" s="265" t="s">
        <v>56</v>
      </c>
      <c r="C90" s="266">
        <v>0.15</v>
      </c>
      <c r="D90" s="57">
        <f>D91/D59</f>
        <v>5.8564774915192137E-2</v>
      </c>
      <c r="E90" s="53" t="e">
        <f t="shared" ref="E90:O90" si="34">E91/E59</f>
        <v>#VALUE!</v>
      </c>
      <c r="F90" s="57">
        <f t="shared" si="34"/>
        <v>6.5254509018036047E-2</v>
      </c>
      <c r="G90" s="53" t="e">
        <f t="shared" si="34"/>
        <v>#VALUE!</v>
      </c>
      <c r="H90" s="57">
        <f t="shared" si="34"/>
        <v>5.9754325852321377E-2</v>
      </c>
      <c r="I90" s="53" t="e">
        <f t="shared" si="34"/>
        <v>#VALUE!</v>
      </c>
      <c r="J90" s="57" t="e">
        <f t="shared" si="34"/>
        <v>#VALUE!</v>
      </c>
      <c r="K90" s="53" t="e">
        <f t="shared" si="34"/>
        <v>#VALUE!</v>
      </c>
      <c r="L90" s="57">
        <f t="shared" si="34"/>
        <v>5.2940629839958744E-2</v>
      </c>
      <c r="M90" s="53" t="e">
        <f t="shared" si="34"/>
        <v>#VALUE!</v>
      </c>
      <c r="N90" s="57" t="e">
        <f t="shared" si="34"/>
        <v>#VALUE!</v>
      </c>
      <c r="O90" s="53" t="e">
        <f t="shared" si="34"/>
        <v>#VALUE!</v>
      </c>
      <c r="P90" s="5"/>
      <c r="Q90" s="5"/>
      <c r="R90" s="5"/>
      <c r="S90" s="5"/>
      <c r="T90" s="2"/>
      <c r="U90" s="2"/>
      <c r="V90" s="2"/>
      <c r="W90" s="2"/>
      <c r="X90" s="2"/>
      <c r="Y90" s="2"/>
      <c r="Z90" s="2"/>
    </row>
    <row r="91" spans="1:26" ht="15.75" customHeight="1" outlineLevel="1" x14ac:dyDescent="0.2">
      <c r="A91" s="277"/>
      <c r="B91" s="222"/>
      <c r="C91" s="222"/>
      <c r="D91" s="58">
        <f t="shared" ref="D91:O91" si="35">D80-(D80*0.19)</f>
        <v>49.135846153846202</v>
      </c>
      <c r="E91" s="54" t="e">
        <f t="shared" si="35"/>
        <v>#VALUE!</v>
      </c>
      <c r="F91" s="58">
        <f t="shared" si="35"/>
        <v>32.561999999999991</v>
      </c>
      <c r="G91" s="54" t="e">
        <f t="shared" si="35"/>
        <v>#VALUE!</v>
      </c>
      <c r="H91" s="58">
        <f t="shared" si="35"/>
        <v>26.829692307692298</v>
      </c>
      <c r="I91" s="54" t="e">
        <f t="shared" si="35"/>
        <v>#VALUE!</v>
      </c>
      <c r="J91" s="58" t="e">
        <f t="shared" si="35"/>
        <v>#VALUE!</v>
      </c>
      <c r="K91" s="54" t="e">
        <f t="shared" si="35"/>
        <v>#VALUE!</v>
      </c>
      <c r="L91" s="58">
        <f t="shared" si="35"/>
        <v>7.8881538461538527</v>
      </c>
      <c r="M91" s="54" t="e">
        <f t="shared" si="35"/>
        <v>#VALUE!</v>
      </c>
      <c r="N91" s="58" t="e">
        <f t="shared" si="35"/>
        <v>#VALUE!</v>
      </c>
      <c r="O91" s="54" t="e">
        <f t="shared" si="35"/>
        <v>#VALUE!</v>
      </c>
      <c r="P91" s="5"/>
      <c r="Q91" s="5"/>
      <c r="R91" s="5"/>
      <c r="S91" s="5"/>
      <c r="T91" s="2"/>
      <c r="U91" s="2"/>
      <c r="V91" s="2"/>
      <c r="W91" s="2"/>
      <c r="X91" s="2"/>
      <c r="Y91" s="2"/>
      <c r="Z91" s="2"/>
    </row>
    <row r="92" spans="1:26" ht="15.75" customHeight="1" outlineLevel="1" x14ac:dyDescent="0.2">
      <c r="A92" s="277"/>
      <c r="B92" s="265" t="s">
        <v>57</v>
      </c>
      <c r="C92" s="266">
        <v>0.17</v>
      </c>
      <c r="D92" s="57">
        <f t="shared" ref="D92:O92" si="36">D93/D59</f>
        <v>4.240487760154036E-2</v>
      </c>
      <c r="E92" s="53" t="e">
        <f t="shared" si="36"/>
        <v>#VALUE!</v>
      </c>
      <c r="F92" s="57">
        <f t="shared" si="36"/>
        <v>4.9238476953907789E-2</v>
      </c>
      <c r="G92" s="53" t="e">
        <f t="shared" si="36"/>
        <v>#VALUE!</v>
      </c>
      <c r="H92" s="57">
        <f t="shared" si="36"/>
        <v>4.3620010279253017E-2</v>
      </c>
      <c r="I92" s="53" t="e">
        <f t="shared" si="36"/>
        <v>#VALUE!</v>
      </c>
      <c r="J92" s="57" t="e">
        <f t="shared" si="36"/>
        <v>#VALUE!</v>
      </c>
      <c r="K92" s="53" t="e">
        <f t="shared" si="36"/>
        <v>#VALUE!</v>
      </c>
      <c r="L92" s="57">
        <f t="shared" si="36"/>
        <v>3.6659783169850309E-2</v>
      </c>
      <c r="M92" s="53" t="e">
        <f t="shared" si="36"/>
        <v>#VALUE!</v>
      </c>
      <c r="N92" s="57" t="e">
        <f t="shared" si="36"/>
        <v>#VALUE!</v>
      </c>
      <c r="O92" s="53" t="e">
        <f t="shared" si="36"/>
        <v>#VALUE!</v>
      </c>
      <c r="P92" s="5"/>
      <c r="Q92" s="5"/>
      <c r="R92" s="5"/>
      <c r="S92" s="5"/>
      <c r="T92" s="2"/>
      <c r="U92" s="2"/>
      <c r="V92" s="2"/>
      <c r="W92" s="2"/>
      <c r="X92" s="2"/>
      <c r="Y92" s="2"/>
      <c r="Z92" s="2"/>
    </row>
    <row r="93" spans="1:26" ht="15.75" customHeight="1" outlineLevel="1" thickBot="1" x14ac:dyDescent="0.25">
      <c r="A93" s="278"/>
      <c r="B93" s="184"/>
      <c r="C93" s="184"/>
      <c r="D93" s="33">
        <f t="shared" ref="D93:O93" si="37">D82-(D82*0.19)</f>
        <v>35.577692307692359</v>
      </c>
      <c r="E93" s="35" t="e">
        <f t="shared" si="37"/>
        <v>#VALUE!</v>
      </c>
      <c r="F93" s="33">
        <f t="shared" si="37"/>
        <v>24.569999999999986</v>
      </c>
      <c r="G93" s="35" t="e">
        <f t="shared" si="37"/>
        <v>#VALUE!</v>
      </c>
      <c r="H93" s="33">
        <f t="shared" si="37"/>
        <v>19.585384615384605</v>
      </c>
      <c r="I93" s="59" t="e">
        <f t="shared" si="37"/>
        <v>#VALUE!</v>
      </c>
      <c r="J93" s="33" t="e">
        <f t="shared" si="37"/>
        <v>#VALUE!</v>
      </c>
      <c r="K93" s="35" t="e">
        <f t="shared" si="37"/>
        <v>#VALUE!</v>
      </c>
      <c r="L93" s="33">
        <f t="shared" si="37"/>
        <v>5.4623076923076956</v>
      </c>
      <c r="M93" s="35" t="e">
        <f t="shared" si="37"/>
        <v>#VALUE!</v>
      </c>
      <c r="N93" s="33" t="e">
        <f t="shared" si="37"/>
        <v>#VALUE!</v>
      </c>
      <c r="O93" s="35" t="e">
        <f t="shared" si="37"/>
        <v>#VALUE!</v>
      </c>
      <c r="P93" s="5"/>
      <c r="Q93" s="5"/>
      <c r="R93" s="5"/>
      <c r="S93" s="5"/>
      <c r="T93" s="2"/>
      <c r="U93" s="2"/>
      <c r="V93" s="2"/>
      <c r="W93" s="2"/>
      <c r="X93" s="2"/>
      <c r="Y93" s="2"/>
      <c r="Z93" s="2"/>
    </row>
    <row r="94" spans="1:26" ht="15.75" customHeight="1" thickTop="1" thickBot="1" x14ac:dyDescent="0.25">
      <c r="A94" s="60"/>
      <c r="B94" s="61"/>
      <c r="C94" s="61"/>
      <c r="D94" s="61"/>
      <c r="E94" s="61"/>
      <c r="F94" s="61"/>
      <c r="G94" s="61"/>
      <c r="H94" s="61"/>
      <c r="I94" s="62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</row>
    <row r="95" spans="1:26" ht="15.75" hidden="1" customHeight="1" thickTop="1" thickBot="1" x14ac:dyDescent="0.25">
      <c r="A95" s="63" t="s">
        <v>61</v>
      </c>
      <c r="B95" s="64"/>
      <c r="C95" s="65" t="s">
        <v>62</v>
      </c>
      <c r="D95" s="64"/>
      <c r="E95" s="66"/>
      <c r="F95" s="267" t="s">
        <v>63</v>
      </c>
      <c r="G95" s="224"/>
      <c r="H95" s="64"/>
      <c r="I95" s="66"/>
      <c r="J95" s="5"/>
      <c r="K95" s="5"/>
      <c r="L95" s="5"/>
      <c r="M95" s="5"/>
      <c r="N95" s="5"/>
      <c r="O95" s="5"/>
      <c r="P95" s="5"/>
      <c r="Q95" s="5"/>
      <c r="R95" s="5"/>
      <c r="S95" s="5"/>
      <c r="T95" s="6"/>
      <c r="U95" s="6"/>
      <c r="V95" s="6"/>
      <c r="W95" s="6"/>
      <c r="X95" s="6"/>
      <c r="Y95" s="6"/>
      <c r="Z95" s="6"/>
    </row>
    <row r="96" spans="1:26" ht="15.75" hidden="1" customHeight="1" thickTop="1" x14ac:dyDescent="0.2">
      <c r="A96" s="139"/>
      <c r="B96" s="68"/>
      <c r="C96" s="5"/>
      <c r="D96" s="5"/>
      <c r="E96" s="68"/>
      <c r="F96" s="268"/>
      <c r="G96" s="269"/>
      <c r="H96" s="269"/>
      <c r="I96" s="270"/>
      <c r="J96" s="5"/>
      <c r="K96" s="5"/>
      <c r="L96" s="5"/>
      <c r="M96" s="5"/>
      <c r="N96" s="5"/>
      <c r="O96" s="5"/>
      <c r="P96" s="5"/>
      <c r="Q96" s="5"/>
      <c r="R96" s="5"/>
      <c r="S96" s="5"/>
      <c r="T96" s="6"/>
      <c r="U96" s="6"/>
      <c r="V96" s="6"/>
      <c r="W96" s="6"/>
      <c r="X96" s="6"/>
      <c r="Y96" s="6"/>
      <c r="Z96" s="6"/>
    </row>
    <row r="97" spans="1:26" ht="15.75" hidden="1" customHeight="1" x14ac:dyDescent="0.2">
      <c r="A97" s="67"/>
      <c r="B97" s="68"/>
      <c r="C97" s="5"/>
      <c r="D97" s="5"/>
      <c r="E97" s="68"/>
      <c r="F97" s="268"/>
      <c r="G97" s="269"/>
      <c r="H97" s="269"/>
      <c r="I97" s="270"/>
      <c r="J97" s="5"/>
      <c r="K97" s="5"/>
      <c r="L97" s="5"/>
      <c r="M97" s="5"/>
      <c r="N97" s="5"/>
      <c r="O97" s="5"/>
      <c r="P97" s="5"/>
      <c r="Q97" s="5"/>
      <c r="R97" s="5"/>
      <c r="S97" s="5"/>
      <c r="T97" s="6"/>
      <c r="U97" s="6"/>
      <c r="V97" s="6"/>
      <c r="W97" s="6"/>
      <c r="X97" s="6"/>
      <c r="Y97" s="6"/>
      <c r="Z97" s="6"/>
    </row>
    <row r="98" spans="1:26" ht="13.5" hidden="1" thickTop="1" x14ac:dyDescent="0.2">
      <c r="A98" s="67"/>
      <c r="B98" s="68"/>
      <c r="C98" s="5"/>
      <c r="D98" s="5"/>
      <c r="E98" s="68"/>
      <c r="F98" s="268"/>
      <c r="G98" s="269"/>
      <c r="H98" s="269"/>
      <c r="I98" s="270"/>
      <c r="J98" s="5"/>
      <c r="K98" s="5"/>
      <c r="L98" s="5"/>
      <c r="M98" s="5"/>
      <c r="N98" s="5"/>
      <c r="O98" s="5"/>
      <c r="P98" s="5"/>
      <c r="Q98" s="5"/>
      <c r="R98" s="5"/>
      <c r="S98" s="5"/>
      <c r="T98" s="6"/>
      <c r="U98" s="6"/>
      <c r="V98" s="6"/>
      <c r="W98" s="6"/>
      <c r="X98" s="6"/>
      <c r="Y98" s="6"/>
      <c r="Z98" s="6"/>
    </row>
    <row r="99" spans="1:26" ht="15.75" hidden="1" customHeight="1" x14ac:dyDescent="0.2">
      <c r="A99" s="67"/>
      <c r="B99" s="68"/>
      <c r="C99" s="5"/>
      <c r="D99" s="5"/>
      <c r="E99" s="68"/>
      <c r="F99" s="5"/>
      <c r="G99" s="5"/>
      <c r="H99" s="5"/>
      <c r="I99" s="68"/>
      <c r="J99" s="5"/>
      <c r="K99" s="5"/>
      <c r="L99" s="5"/>
      <c r="M99" s="5"/>
      <c r="N99" s="5"/>
      <c r="O99" s="5"/>
      <c r="P99" s="5"/>
      <c r="Q99" s="5"/>
      <c r="R99" s="5"/>
      <c r="S99" s="5"/>
      <c r="T99" s="6"/>
      <c r="U99" s="6"/>
      <c r="V99" s="6"/>
      <c r="W99" s="6"/>
      <c r="X99" s="6"/>
      <c r="Y99" s="6"/>
      <c r="Z99" s="6"/>
    </row>
    <row r="100" spans="1:26" ht="15.75" hidden="1" customHeight="1" x14ac:dyDescent="0.2">
      <c r="A100" s="67"/>
      <c r="B100" s="68"/>
      <c r="C100" s="5"/>
      <c r="D100" s="5"/>
      <c r="E100" s="68"/>
      <c r="F100" s="5"/>
      <c r="G100" s="5"/>
      <c r="H100" s="5"/>
      <c r="I100" s="6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6"/>
      <c r="U100" s="6"/>
      <c r="V100" s="6"/>
      <c r="W100" s="6"/>
      <c r="X100" s="6"/>
      <c r="Y100" s="6"/>
      <c r="Z100" s="6"/>
    </row>
    <row r="101" spans="1:26" ht="15.75" hidden="1" customHeight="1" x14ac:dyDescent="0.2">
      <c r="A101" s="67"/>
      <c r="B101" s="68"/>
      <c r="C101" s="5"/>
      <c r="D101" s="5"/>
      <c r="E101" s="68"/>
      <c r="F101" s="5"/>
      <c r="G101" s="5"/>
      <c r="H101" s="5"/>
      <c r="I101" s="6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6"/>
      <c r="U101" s="6"/>
      <c r="V101" s="6"/>
      <c r="W101" s="6"/>
      <c r="X101" s="6"/>
      <c r="Y101" s="6"/>
      <c r="Z101" s="6"/>
    </row>
    <row r="102" spans="1:26" ht="15.75" hidden="1" customHeight="1" x14ac:dyDescent="0.2">
      <c r="A102" s="67"/>
      <c r="B102" s="68"/>
      <c r="C102" s="5"/>
      <c r="D102" s="5"/>
      <c r="E102" s="68"/>
      <c r="F102" s="5"/>
      <c r="G102" s="5"/>
      <c r="H102" s="5"/>
      <c r="I102" s="6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6"/>
      <c r="U102" s="6"/>
      <c r="V102" s="6"/>
      <c r="W102" s="6"/>
      <c r="X102" s="6"/>
      <c r="Y102" s="6"/>
      <c r="Z102" s="6"/>
    </row>
    <row r="103" spans="1:26" ht="15.75" hidden="1" customHeight="1" x14ac:dyDescent="0.2">
      <c r="A103" s="67"/>
      <c r="B103" s="68"/>
      <c r="C103" s="5"/>
      <c r="D103" s="5"/>
      <c r="E103" s="68"/>
      <c r="F103" s="5"/>
      <c r="G103" s="5"/>
      <c r="H103" s="5"/>
      <c r="I103" s="6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6"/>
      <c r="U103" s="6"/>
      <c r="V103" s="6"/>
      <c r="W103" s="6"/>
      <c r="X103" s="6"/>
      <c r="Y103" s="6"/>
      <c r="Z103" s="6"/>
    </row>
    <row r="104" spans="1:26" ht="15.75" hidden="1" customHeight="1" thickBot="1" x14ac:dyDescent="0.25">
      <c r="A104" s="69"/>
      <c r="B104" s="70"/>
      <c r="C104" s="9"/>
      <c r="D104" s="9"/>
      <c r="E104" s="70"/>
      <c r="F104" s="9"/>
      <c r="G104" s="9"/>
      <c r="H104" s="9"/>
      <c r="I104" s="70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6"/>
      <c r="U104" s="6"/>
      <c r="V104" s="6"/>
      <c r="W104" s="6"/>
      <c r="X104" s="6"/>
      <c r="Y104" s="6"/>
      <c r="Z104" s="6"/>
    </row>
    <row r="105" spans="1:26" ht="15.75" hidden="1" customHeight="1" thickTop="1" thickBo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6"/>
      <c r="U105" s="6"/>
      <c r="V105" s="6"/>
      <c r="W105" s="6"/>
      <c r="X105" s="6"/>
      <c r="Y105" s="6"/>
      <c r="Z105" s="6"/>
    </row>
    <row r="106" spans="1:26" ht="15.75" hidden="1" customHeight="1" thickTop="1" x14ac:dyDescent="0.2">
      <c r="A106" s="263" t="s">
        <v>64</v>
      </c>
      <c r="B106" s="264"/>
      <c r="C106" s="5"/>
      <c r="D106" s="5"/>
      <c r="E106" s="5"/>
      <c r="F106" s="5"/>
      <c r="G106" s="5"/>
      <c r="H106" s="5"/>
      <c r="I106" s="6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6"/>
      <c r="U106" s="6"/>
      <c r="V106" s="6"/>
      <c r="W106" s="6"/>
      <c r="X106" s="6"/>
      <c r="Y106" s="6"/>
      <c r="Z106" s="6"/>
    </row>
    <row r="107" spans="1:26" ht="15.75" hidden="1" customHeight="1" x14ac:dyDescent="0.2">
      <c r="A107" s="67"/>
      <c r="B107" s="5"/>
      <c r="C107" s="5"/>
      <c r="D107" s="5"/>
      <c r="E107" s="5"/>
      <c r="F107" s="5"/>
      <c r="G107" s="5"/>
      <c r="H107" s="5"/>
      <c r="I107" s="6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6"/>
      <c r="U107" s="6"/>
      <c r="V107" s="6"/>
      <c r="W107" s="6"/>
      <c r="X107" s="6"/>
      <c r="Y107" s="6"/>
      <c r="Z107" s="6"/>
    </row>
    <row r="108" spans="1:26" ht="15.75" hidden="1" customHeight="1" x14ac:dyDescent="0.2">
      <c r="A108" s="67"/>
      <c r="B108" s="5"/>
      <c r="C108" s="5"/>
      <c r="D108" s="5"/>
      <c r="E108" s="5"/>
      <c r="F108" s="5"/>
      <c r="G108" s="5"/>
      <c r="H108" s="5"/>
      <c r="I108" s="6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6"/>
      <c r="U108" s="6"/>
      <c r="V108" s="6"/>
      <c r="W108" s="6"/>
      <c r="X108" s="6"/>
      <c r="Y108" s="6"/>
      <c r="Z108" s="6"/>
    </row>
    <row r="109" spans="1:26" ht="15.75" hidden="1" customHeight="1" x14ac:dyDescent="0.2">
      <c r="A109" s="67"/>
      <c r="B109" s="5"/>
      <c r="C109" s="5"/>
      <c r="D109" s="5"/>
      <c r="E109" s="5"/>
      <c r="F109" s="5"/>
      <c r="G109" s="5"/>
      <c r="H109" s="5"/>
      <c r="I109" s="6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6"/>
      <c r="U109" s="6"/>
      <c r="V109" s="6"/>
      <c r="W109" s="6"/>
      <c r="X109" s="6"/>
      <c r="Y109" s="6"/>
      <c r="Z109" s="6"/>
    </row>
    <row r="110" spans="1:26" ht="15.75" hidden="1" customHeight="1" x14ac:dyDescent="0.2">
      <c r="A110" s="67"/>
      <c r="B110" s="5"/>
      <c r="C110" s="5"/>
      <c r="D110" s="5"/>
      <c r="E110" s="5"/>
      <c r="F110" s="5"/>
      <c r="G110" s="5"/>
      <c r="H110" s="5"/>
      <c r="I110" s="6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6"/>
      <c r="U110" s="6"/>
      <c r="V110" s="6"/>
      <c r="W110" s="6"/>
      <c r="X110" s="6"/>
      <c r="Y110" s="6"/>
      <c r="Z110" s="6"/>
    </row>
    <row r="111" spans="1:26" ht="15.75" hidden="1" customHeight="1" thickBot="1" x14ac:dyDescent="0.25">
      <c r="A111" s="69"/>
      <c r="B111" s="9"/>
      <c r="C111" s="9"/>
      <c r="D111" s="9"/>
      <c r="E111" s="9"/>
      <c r="F111" s="9"/>
      <c r="G111" s="9"/>
      <c r="H111" s="9"/>
      <c r="I111" s="70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"/>
      <c r="U111" s="6"/>
      <c r="V111" s="6"/>
      <c r="W111" s="6"/>
      <c r="X111" s="6"/>
      <c r="Y111" s="6"/>
      <c r="Z111" s="6"/>
    </row>
    <row r="112" spans="1:26" ht="15.75" customHeight="1" thickTop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76">
    <mergeCell ref="A106:B106"/>
    <mergeCell ref="B90:B91"/>
    <mergeCell ref="C90:C91"/>
    <mergeCell ref="B92:B93"/>
    <mergeCell ref="C92:C93"/>
    <mergeCell ref="F95:G95"/>
    <mergeCell ref="F96:I98"/>
    <mergeCell ref="B79:B80"/>
    <mergeCell ref="C79:C80"/>
    <mergeCell ref="B81:B82"/>
    <mergeCell ref="C81:C82"/>
    <mergeCell ref="A84:O84"/>
    <mergeCell ref="A85:A93"/>
    <mergeCell ref="B86:B87"/>
    <mergeCell ref="C86:C87"/>
    <mergeCell ref="B88:B89"/>
    <mergeCell ref="C88:C89"/>
    <mergeCell ref="A74:A82"/>
    <mergeCell ref="B75:B76"/>
    <mergeCell ref="C75:C76"/>
    <mergeCell ref="B77:B78"/>
    <mergeCell ref="C77:C78"/>
    <mergeCell ref="A50:C50"/>
    <mergeCell ref="A51:C51"/>
    <mergeCell ref="A53:O53"/>
    <mergeCell ref="A54:C55"/>
    <mergeCell ref="A57:O57"/>
    <mergeCell ref="A58:C59"/>
    <mergeCell ref="A61:O61"/>
    <mergeCell ref="A62:C64"/>
    <mergeCell ref="A66:O66"/>
    <mergeCell ref="A67:A71"/>
    <mergeCell ref="A73:O73"/>
    <mergeCell ref="A49:C49"/>
    <mergeCell ref="A32:C32"/>
    <mergeCell ref="D32:O32"/>
    <mergeCell ref="A37:C37"/>
    <mergeCell ref="A38:C38"/>
    <mergeCell ref="A40:O40"/>
    <mergeCell ref="A41:C42"/>
    <mergeCell ref="A44:O44"/>
    <mergeCell ref="A45:C46"/>
    <mergeCell ref="D45:O45"/>
    <mergeCell ref="A47:C47"/>
    <mergeCell ref="A48:C48"/>
    <mergeCell ref="F7:G7"/>
    <mergeCell ref="A31:O31"/>
    <mergeCell ref="A9:D9"/>
    <mergeCell ref="A12:C12"/>
    <mergeCell ref="A13:C13"/>
    <mergeCell ref="E13:E14"/>
    <mergeCell ref="A14:C14"/>
    <mergeCell ref="A15:C15"/>
    <mergeCell ref="E15:E16"/>
    <mergeCell ref="A16:C16"/>
    <mergeCell ref="A18:O18"/>
    <mergeCell ref="A19:C19"/>
    <mergeCell ref="D19:O19"/>
    <mergeCell ref="A28:C28"/>
    <mergeCell ref="A29:C29"/>
    <mergeCell ref="A1:O1"/>
    <mergeCell ref="A2:A7"/>
    <mergeCell ref="D2:F2"/>
    <mergeCell ref="H2:I2"/>
    <mergeCell ref="J2:O2"/>
    <mergeCell ref="D3:F3"/>
    <mergeCell ref="H3:I3"/>
    <mergeCell ref="D4:E4"/>
    <mergeCell ref="F4:G4"/>
    <mergeCell ref="H4:I4"/>
    <mergeCell ref="D5:E5"/>
    <mergeCell ref="F5:G5"/>
    <mergeCell ref="H5:I8"/>
    <mergeCell ref="D6:E6"/>
    <mergeCell ref="F6:G6"/>
    <mergeCell ref="D7:E7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Regente City (MEX) </vt:lpstr>
      <vt:lpstr>Imperial Reforma (MEX)</vt:lpstr>
      <vt:lpstr>Royal Reforma (MEX)</vt:lpstr>
      <vt:lpstr>Casablanca (MEX)</vt:lpstr>
      <vt:lpstr>Majestic (MEX)</vt:lpstr>
      <vt:lpstr>Galería Plaza (MEX)</vt:lpstr>
      <vt:lpstr>Histórico Central (MEX)</vt:lpstr>
      <vt:lpstr> Barceló (MEX)</vt:lpstr>
      <vt:lpstr>Sheraton Ma. Isabel (MEX)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Karol Mora (CO)</cp:lastModifiedBy>
  <cp:revision/>
  <dcterms:created xsi:type="dcterms:W3CDTF">2024-05-02T17:57:56Z</dcterms:created>
  <dcterms:modified xsi:type="dcterms:W3CDTF">2025-01-22T19:53:07Z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ad2cb1-b6ca-4e16-a3d3-34374cb3e5e3_Enabled">
    <vt:lpwstr>true</vt:lpwstr>
  </property>
  <property fmtid="{D5CDD505-2E9C-101B-9397-08002B2CF9AE}" pid="3" name="MSIP_Label_39ad2cb1-b6ca-4e16-a3d3-34374cb3e5e3_SetDate">
    <vt:lpwstr>2024-06-28T14:23:47Z</vt:lpwstr>
  </property>
  <property fmtid="{D5CDD505-2E9C-101B-9397-08002B2CF9AE}" pid="4" name="MSIP_Label_39ad2cb1-b6ca-4e16-a3d3-34374cb3e5e3_Method">
    <vt:lpwstr>Standard</vt:lpwstr>
  </property>
  <property fmtid="{D5CDD505-2E9C-101B-9397-08002B2CF9AE}" pid="5" name="MSIP_Label_39ad2cb1-b6ca-4e16-a3d3-34374cb3e5e3_Name">
    <vt:lpwstr>BUSINESS USE ONLY</vt:lpwstr>
  </property>
  <property fmtid="{D5CDD505-2E9C-101B-9397-08002B2CF9AE}" pid="6" name="MSIP_Label_39ad2cb1-b6ca-4e16-a3d3-34374cb3e5e3_SiteId">
    <vt:lpwstr>0b66cc0d-e5b3-40ed-8d46-c04eff68e420</vt:lpwstr>
  </property>
  <property fmtid="{D5CDD505-2E9C-101B-9397-08002B2CF9AE}" pid="7" name="MSIP_Label_39ad2cb1-b6ca-4e16-a3d3-34374cb3e5e3_ActionId">
    <vt:lpwstr>46a13446-30a5-4710-92e6-289007ee6964</vt:lpwstr>
  </property>
  <property fmtid="{D5CDD505-2E9C-101B-9397-08002B2CF9AE}" pid="8" name="MSIP_Label_39ad2cb1-b6ca-4e16-a3d3-34374cb3e5e3_ContentBits">
    <vt:lpwstr>0</vt:lpwstr>
  </property>
</Properties>
</file>